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2"/>
  </bookViews>
  <sheets>
    <sheet name="3-D Graph" sheetId="1" r:id="rId1"/>
    <sheet name="Table" sheetId="2" r:id="rId2"/>
    <sheet name="Data" sheetId="3" r:id="rId3"/>
    <sheet name="Periodic Table" sheetId="4" r:id="rId4"/>
  </sheets>
  <externalReferences>
    <externalReference r:id="rId7"/>
  </externalReferences>
  <definedNames>
    <definedName name="__123Graph_X" localSheetId="3" hidden="1">'[1]data'!#REF!</definedName>
    <definedName name="__123Graph_X" hidden="1">'[1]data'!#REF!</definedName>
    <definedName name="Family" localSheetId="3">'[1]data'!#REF!</definedName>
    <definedName name="Family">'[1]data'!#REF!</definedName>
    <definedName name="Group" localSheetId="3">'[1]data'!#REF!</definedName>
    <definedName name="Group">'[1]data'!#REF!</definedName>
    <definedName name="human_body_mass" localSheetId="3">'[1]data'!#REF!</definedName>
    <definedName name="human_body_mass">'[1]data'!#REF!</definedName>
    <definedName name="lenth_of_name" localSheetId="3">'[1]data'!#REF!</definedName>
    <definedName name="lenth_of_name">'[1]data'!#REF!</definedName>
    <definedName name="Metal_or_Non_metal" localSheetId="3">'[1]data'!#REF!</definedName>
    <definedName name="Metal_or_Non_metal">'[1]data'!#REF!</definedName>
    <definedName name="mg_kg_crust" localSheetId="3">'[1]data'!#REF!</definedName>
    <definedName name="mg_kg_crust">'[1]data'!#REF!</definedName>
    <definedName name="mg_L_seawater" localSheetId="3">'[1]data'!#REF!</definedName>
    <definedName name="mg_L_seawater">'[1]data'!#REF!</definedName>
    <definedName name="Name" localSheetId="3">'[1]data'!#REF!</definedName>
    <definedName name="Name">'[1]data'!#REF!</definedName>
    <definedName name="orbitla" localSheetId="3">'[1]data'!#REF!</definedName>
    <definedName name="orbitla">'[1]data'!#REF!</definedName>
    <definedName name="_xlnm.Print_Area" localSheetId="3">'Periodic Table'!$B$1:$U$12</definedName>
  </definedNames>
  <calcPr fullCalcOnLoad="1"/>
</workbook>
</file>

<file path=xl/sharedStrings.xml><?xml version="1.0" encoding="utf-8"?>
<sst xmlns="http://schemas.openxmlformats.org/spreadsheetml/2006/main" count="256" uniqueCount="247">
  <si>
    <t>Name</t>
  </si>
  <si>
    <t>Density</t>
  </si>
  <si>
    <t>hydrogen</t>
  </si>
  <si>
    <t>lithium</t>
  </si>
  <si>
    <t>beryllium</t>
  </si>
  <si>
    <t>boron</t>
  </si>
  <si>
    <t>carbon</t>
  </si>
  <si>
    <t>nitrogen</t>
  </si>
  <si>
    <t>oxygen</t>
  </si>
  <si>
    <t>fluorine</t>
  </si>
  <si>
    <t>neon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</si>
  <si>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</si>
  <si>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</si>
  <si>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</si>
  <si>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</si>
  <si>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</si>
  <si>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</si>
  <si>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</si>
  <si>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</si>
  <si>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potassium</t>
  </si>
  <si>
    <t>calcium</t>
  </si>
  <si>
    <t>scandium</t>
  </si>
  <si>
    <t>titanium</t>
  </si>
  <si>
    <t>vanadium</t>
  </si>
  <si>
    <t>chromium</t>
  </si>
  <si>
    <t>manganese</t>
  </si>
  <si>
    <t>iron</t>
  </si>
  <si>
    <t>cobalt</t>
  </si>
  <si>
    <t>nickel</t>
  </si>
  <si>
    <t>copper</t>
  </si>
  <si>
    <t>zinc</t>
  </si>
  <si>
    <t>gallium</t>
  </si>
  <si>
    <t>germanium</t>
  </si>
  <si>
    <t>arsenic</t>
  </si>
  <si>
    <t>selenium</t>
  </si>
  <si>
    <t>bromine</t>
  </si>
  <si>
    <t>krypton</t>
  </si>
  <si>
    <t>rubidium</t>
  </si>
  <si>
    <t>strontium</t>
  </si>
  <si>
    <t>yttrium</t>
  </si>
  <si>
    <t>zirconium</t>
  </si>
  <si>
    <t>niobium</t>
  </si>
  <si>
    <t>molybdenum</t>
  </si>
  <si>
    <t>technetium</t>
  </si>
  <si>
    <t>ruthenium</t>
  </si>
  <si>
    <t>rhodium</t>
  </si>
  <si>
    <t>palladium</t>
  </si>
  <si>
    <t>silver</t>
  </si>
  <si>
    <t>cadmium</t>
  </si>
  <si>
    <t>indium</t>
  </si>
  <si>
    <t>tin</t>
  </si>
  <si>
    <t>antimony</t>
  </si>
  <si>
    <t>tellurium</t>
  </si>
  <si>
    <t>iodine</t>
  </si>
  <si>
    <t>xenon</t>
  </si>
  <si>
    <t>cesium</t>
  </si>
  <si>
    <t>barium</t>
  </si>
  <si>
    <t>lanthanum</t>
  </si>
  <si>
    <t>cerium</t>
  </si>
  <si>
    <t>praseodymium</t>
  </si>
  <si>
    <t>neodymium</t>
  </si>
  <si>
    <t>promethium</t>
  </si>
  <si>
    <t>samarium</t>
  </si>
  <si>
    <t>1.3.3</t>
  </si>
  <si>
    <t>europium</t>
  </si>
  <si>
    <t>gadolinium</t>
  </si>
  <si>
    <t>terbium</t>
  </si>
  <si>
    <t>dysprosium</t>
  </si>
  <si>
    <t>holmium</t>
  </si>
  <si>
    <t>erbium</t>
  </si>
  <si>
    <t>thulium</t>
  </si>
  <si>
    <t>ytterbium</t>
  </si>
  <si>
    <t>lutetium</t>
  </si>
  <si>
    <t>hafnium</t>
  </si>
  <si>
    <t>tantalum</t>
  </si>
  <si>
    <t>tungsten</t>
  </si>
  <si>
    <t>rhenium</t>
  </si>
  <si>
    <t>osmium</t>
  </si>
  <si>
    <t>iridium</t>
  </si>
  <si>
    <t>platinum</t>
  </si>
  <si>
    <t>gold</t>
  </si>
  <si>
    <t>mercury</t>
  </si>
  <si>
    <t>thallium</t>
  </si>
  <si>
    <t>lead</t>
  </si>
  <si>
    <t>bismuth</t>
  </si>
  <si>
    <t>polonium</t>
  </si>
  <si>
    <t>astatine</t>
  </si>
  <si>
    <t xml:space="preserve"> </t>
  </si>
  <si>
    <t>radon</t>
  </si>
  <si>
    <t>francium</t>
  </si>
  <si>
    <t>radium</t>
  </si>
  <si>
    <t>actinium</t>
  </si>
  <si>
    <t>thorium</t>
  </si>
  <si>
    <t>protactinium</t>
  </si>
  <si>
    <t>uranium</t>
  </si>
  <si>
    <t>neptunium</t>
  </si>
  <si>
    <t>plutonium</t>
  </si>
  <si>
    <t>americium</t>
  </si>
  <si>
    <t>curium</t>
  </si>
  <si>
    <t>berkelium</t>
  </si>
  <si>
    <t>californium</t>
  </si>
  <si>
    <t>einsteinium</t>
  </si>
  <si>
    <t>fermium</t>
  </si>
  <si>
    <t>mendelevium</t>
  </si>
  <si>
    <t>nobelium</t>
  </si>
  <si>
    <t>lawrencium</t>
  </si>
  <si>
    <t>rutherfordium</t>
  </si>
  <si>
    <t>hahnium</t>
  </si>
  <si>
    <t>seaborgium</t>
  </si>
  <si>
    <t>hassium</t>
  </si>
  <si>
    <t>bohrium</t>
  </si>
  <si>
    <t>meitnerium</t>
  </si>
  <si>
    <t>ununnilium</t>
  </si>
  <si>
    <t>Atomic Number</t>
  </si>
  <si>
    <t xml:space="preserve"> Boiling Point (K)</t>
  </si>
  <si>
    <t>Melting Point (K)</t>
  </si>
  <si>
    <t>Atomic Weight</t>
  </si>
  <si>
    <t>Most Stable Oxidation State</t>
  </si>
  <si>
    <t>Covalent Radius</t>
  </si>
  <si>
    <t>First Ionization Potential</t>
  </si>
  <si>
    <t>Specific Heat Capacity</t>
  </si>
  <si>
    <t>Thermal Conductivity</t>
  </si>
  <si>
    <t>Electrical Conductivity</t>
  </si>
  <si>
    <t>Heat Of Fusion</t>
  </si>
  <si>
    <t>Heat Of Vaporization</t>
  </si>
  <si>
    <t>Electro-Negativity</t>
  </si>
  <si>
    <t>Atomic Radius (Angstroms)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</si>
  <si>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</si>
  <si>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</si>
  <si>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</si>
  <si>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</si>
  <si>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</si>
  <si>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</si>
  <si>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</si>
  <si>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</si>
  <si>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</si>
  <si>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</si>
  <si>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</si>
  <si>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</si>
  <si>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</si>
  <si>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</si>
  <si>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</si>
  <si>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</si>
  <si>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</si>
  <si>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</si>
  <si>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</si>
  <si>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</si>
  <si>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</si>
  <si>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</si>
  <si>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</si>
  <si>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</si>
  <si>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</si>
  <si>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</si>
  <si>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</si>
  <si>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</si>
  <si>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</si>
  <si>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</si>
  <si>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</si>
  <si>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</si>
  <si>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</si>
  <si>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</si>
  <si>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</si>
  <si>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</si>
  <si>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</si>
  <si>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</si>
  <si>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</si>
  <si>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</si>
  <si>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</si>
  <si>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</si>
  <si>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</si>
  <si>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</si>
  <si>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</si>
  <si>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</si>
  <si>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</si>
  <si>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</si>
  <si>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</si>
  <si>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</si>
  <si>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</si>
  <si>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</si>
  <si>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</si>
  <si>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</si>
  <si>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</si>
  <si>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</si>
  <si>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</si>
  <si>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</si>
  <si>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</si>
  <si>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</si>
  <si>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</si>
  <si>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</si>
  <si>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</si>
  <si>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</si>
  <si>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</si>
  <si>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</si>
  <si>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</si>
  <si>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</si>
  <si>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</si>
  <si>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</si>
  <si>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</si>
  <si>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</si>
  <si>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</si>
  <si>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Rf</t>
  </si>
  <si>
    <t>Ha</t>
  </si>
  <si>
    <t>Sg</t>
  </si>
  <si>
    <t>Ns</t>
  </si>
  <si>
    <t>Hs</t>
  </si>
  <si>
    <t>Mt</t>
  </si>
  <si>
    <t>Uun</t>
  </si>
  <si>
    <t>(6)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</si>
  <si>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</si>
  <si>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</si>
  <si>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</si>
  <si>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</si>
  <si>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</si>
  <si>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</si>
  <si>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</si>
  <si>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</si>
  <si>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</si>
  <si>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</si>
  <si>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</si>
  <si>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</si>
  <si>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</si>
  <si>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</si>
  <si>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</si>
  <si>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(7)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</si>
  <si>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</si>
  <si>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</si>
  <si>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</si>
  <si>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</si>
  <si>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</si>
  <si>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</si>
  <si>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</si>
  <si>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</si>
  <si>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</si>
  <si>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</si>
  <si>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</si>
  <si>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</si>
  <si>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</si>
  <si>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</si>
  <si>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</si>
  <si>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helium</t>
  </si>
  <si>
    <t>Graph  ---&gt;</t>
  </si>
  <si>
    <t>Name Length (Letters)</t>
  </si>
  <si>
    <t>Years Since Discovery</t>
  </si>
  <si>
    <t>*</t>
  </si>
  <si>
    <t>2nd Most Stable Oxidation State</t>
  </si>
  <si>
    <t>3rd Most Stable Oxidation State</t>
  </si>
  <si>
    <t>4th Most Stable Oxidation State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</si>
</sst>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_)"/>
    <numFmt numFmtId="169" formatCode="0.00_)"/>
    <numFmt numFmtId="170" formatCode="0.0"/>
  </numFmts>
  <fonts count="18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z val="10"/>
      <color indexed="10"/>
      <name val="Helv"/>
      <family val="0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Helv"/>
      <family val="0"/>
    </font>
    <font>
      <sz val="12"/>
      <name val="Times New Roman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b/>
      <sz val="8"/>
      <name val="Times New Roman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 textRotation="90" wrapText="1"/>
    </xf>
    <xf numFmtId="0" fontId="4" fillId="0" borderId="0" xfId="0" applyNumberFormat="1" applyFont="1" applyAlignment="1" applyProtection="1">
      <alignment horizontal="center" vertical="center" textRotation="90" wrapText="1"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9" fillId="0" borderId="0" xfId="0" applyNumberFormat="1" applyFont="1" applyAlignment="1" applyProtection="1">
      <alignment horizontal="left"/>
      <protection/>
    </xf>
    <xf numFmtId="0" fontId="9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 quotePrefix="1">
      <alignment horizontal="center"/>
      <protection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0" fontId="14" fillId="0" borderId="0" xfId="21" applyFont="1" applyAlignment="1">
      <alignment horizontal="center" vertical="center"/>
      <protection/>
    </xf>
    <xf numFmtId="0" fontId="15" fillId="2" borderId="1" xfId="21" applyFont="1" applyFill="1" applyBorder="1" applyAlignment="1">
      <alignment horizontal="center" vertical="center"/>
      <protection/>
    </xf>
    <xf numFmtId="0" fontId="11" fillId="0" borderId="0" xfId="21" applyAlignment="1">
      <alignment horizontal="center" vertical="center"/>
      <protection/>
    </xf>
    <xf numFmtId="0" fontId="11" fillId="2" borderId="1" xfId="21" applyFill="1" applyBorder="1" applyAlignment="1">
      <alignment horizontal="center" vertical="center"/>
      <protection/>
    </xf>
    <xf numFmtId="0" fontId="11" fillId="2" borderId="2" xfId="21" applyFill="1" applyBorder="1" applyAlignment="1">
      <alignment horizontal="center" vertical="center"/>
      <protection/>
    </xf>
    <xf numFmtId="0" fontId="16" fillId="2" borderId="1" xfId="21" applyFont="1" applyFill="1" applyBorder="1" applyAlignment="1">
      <alignment horizontal="center" vertical="center"/>
      <protection/>
    </xf>
    <xf numFmtId="0" fontId="17" fillId="2" borderId="1" xfId="21" applyFont="1" applyFill="1" applyBorder="1" applyAlignment="1">
      <alignment horizontal="center"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 quotePrefix="1">
      <alignment horizontal="center" vertical="center"/>
      <protection/>
    </xf>
    <xf numFmtId="0" fontId="4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andar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3-D Periodic Table</a:t>
            </a:r>
          </a:p>
        </c:rich>
      </c:tx>
      <c:layout/>
      <c:spPr>
        <a:noFill/>
        <a:ln>
          <a:noFill/>
        </a:ln>
      </c:spPr>
    </c:title>
    <c:view3D>
      <c:rotX val="82"/>
      <c:rotY val="90"/>
      <c:depthPercent val="100"/>
      <c:rAngAx val="0"/>
      <c:perspective val="30"/>
    </c:view3D>
    <c:plotArea>
      <c:layout>
        <c:manualLayout>
          <c:xMode val="edge"/>
          <c:yMode val="edge"/>
          <c:x val="0.001"/>
          <c:y val="0.10475"/>
          <c:w val="1"/>
          <c:h val="0.89525"/>
        </c:manualLayout>
      </c:layout>
      <c:bar3DChart>
        <c:barDir val="col"/>
        <c:grouping val="standar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Table!$A$1:$A$10</c:f>
              <c:numCache>
                <c:ptCount val="10"/>
                <c:pt idx="0">
                  <c:v>2.2</c:v>
                </c:pt>
                <c:pt idx="1">
                  <c:v>0.98</c:v>
                </c:pt>
                <c:pt idx="2">
                  <c:v>0.93</c:v>
                </c:pt>
                <c:pt idx="3">
                  <c:v>0.82</c:v>
                </c:pt>
                <c:pt idx="4">
                  <c:v>0.82</c:v>
                </c:pt>
                <c:pt idx="5">
                  <c:v>0.79</c:v>
                </c:pt>
                <c:pt idx="6">
                  <c:v>0.7</c:v>
                </c:pt>
              </c:numCache>
            </c:numRef>
          </c:val>
          <c:shape val="box"/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Table!$B$1:$B$10</c:f>
              <c:numCache>
                <c:ptCount val="10"/>
                <c:pt idx="1">
                  <c:v>1.57</c:v>
                </c:pt>
                <c:pt idx="2">
                  <c:v>1.31</c:v>
                </c:pt>
                <c:pt idx="3">
                  <c:v>1</c:v>
                </c:pt>
                <c:pt idx="4">
                  <c:v>0.95</c:v>
                </c:pt>
                <c:pt idx="5">
                  <c:v>0.89</c:v>
                </c:pt>
                <c:pt idx="6">
                  <c:v>0.9</c:v>
                </c:pt>
              </c:numCache>
            </c:numRef>
          </c:val>
          <c:shape val="box"/>
        </c:ser>
        <c:ser>
          <c:idx val="2"/>
          <c:order val="2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Table!$C$1:$C$10</c:f>
              <c:numCache>
                <c:ptCount val="10"/>
                <c:pt idx="3">
                  <c:v>1.36</c:v>
                </c:pt>
                <c:pt idx="4">
                  <c:v>1.22</c:v>
                </c:pt>
              </c:numCache>
            </c:numRef>
          </c:val>
          <c:shape val="box"/>
        </c:ser>
        <c:ser>
          <c:idx val="3"/>
          <c:order val="3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Table!$D$1:$D$10</c:f>
              <c:numCache>
                <c:ptCount val="10"/>
                <c:pt idx="3">
                  <c:v>1.54</c:v>
                </c:pt>
                <c:pt idx="4">
                  <c:v>1.22</c:v>
                </c:pt>
                <c:pt idx="5">
                  <c:v>1.3</c:v>
                </c:pt>
                <c:pt idx="6">
                  <c:v>1.3</c:v>
                </c:pt>
                <c:pt idx="8">
                  <c:v>1.1</c:v>
                </c:pt>
                <c:pt idx="9">
                  <c:v>1.1</c:v>
                </c:pt>
              </c:numCache>
            </c:numRef>
          </c:val>
          <c:shape val="box"/>
        </c:ser>
        <c:ser>
          <c:idx val="4"/>
          <c:order val="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Table!$E$1:$E$10</c:f>
              <c:numCache>
                <c:ptCount val="10"/>
                <c:pt idx="3">
                  <c:v>1.63</c:v>
                </c:pt>
                <c:pt idx="4">
                  <c:v>1.6</c:v>
                </c:pt>
                <c:pt idx="5">
                  <c:v>1.5</c:v>
                </c:pt>
                <c:pt idx="8">
                  <c:v>1.12</c:v>
                </c:pt>
                <c:pt idx="9">
                  <c:v>1.3</c:v>
                </c:pt>
              </c:numCache>
            </c:numRef>
          </c:val>
          <c:shape val="box"/>
        </c:ser>
        <c:ser>
          <c:idx val="5"/>
          <c:order val="5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Table!$F$1:$F$10</c:f>
              <c:numCache>
                <c:ptCount val="10"/>
                <c:pt idx="3">
                  <c:v>1.66</c:v>
                </c:pt>
                <c:pt idx="4">
                  <c:v>2.16</c:v>
                </c:pt>
                <c:pt idx="5">
                  <c:v>2.36</c:v>
                </c:pt>
                <c:pt idx="8">
                  <c:v>1.13</c:v>
                </c:pt>
                <c:pt idx="9">
                  <c:v>1.5</c:v>
                </c:pt>
              </c:numCache>
            </c:numRef>
          </c:val>
          <c:shape val="box"/>
        </c:ser>
        <c:ser>
          <c:idx val="6"/>
          <c:order val="6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Table!$G$1:$G$10</c:f>
              <c:numCache>
                <c:ptCount val="10"/>
                <c:pt idx="3">
                  <c:v>1.55</c:v>
                </c:pt>
                <c:pt idx="4">
                  <c:v>1.9</c:v>
                </c:pt>
                <c:pt idx="5">
                  <c:v>1.9</c:v>
                </c:pt>
                <c:pt idx="8">
                  <c:v>1.14</c:v>
                </c:pt>
                <c:pt idx="9">
                  <c:v>1.38</c:v>
                </c:pt>
              </c:numCache>
            </c:numRef>
          </c:val>
          <c:shape val="box"/>
        </c:ser>
        <c:ser>
          <c:idx val="7"/>
          <c:order val="7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Table!$H$1:$H$10</c:f>
              <c:numCache>
                <c:ptCount val="10"/>
                <c:pt idx="3">
                  <c:v>1.83</c:v>
                </c:pt>
                <c:pt idx="4">
                  <c:v>2.2</c:v>
                </c:pt>
                <c:pt idx="5">
                  <c:v>2.2</c:v>
                </c:pt>
                <c:pt idx="8">
                  <c:v>1.13</c:v>
                </c:pt>
                <c:pt idx="9">
                  <c:v>1.36</c:v>
                </c:pt>
              </c:numCache>
            </c:numRef>
          </c:val>
          <c:shape val="box"/>
        </c:ser>
        <c:ser>
          <c:idx val="8"/>
          <c:order val="8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Table!$I$1:$I$10</c:f>
              <c:numCache>
                <c:ptCount val="10"/>
                <c:pt idx="3">
                  <c:v>1.88</c:v>
                </c:pt>
                <c:pt idx="4">
                  <c:v>2.28</c:v>
                </c:pt>
                <c:pt idx="5">
                  <c:v>2.2</c:v>
                </c:pt>
                <c:pt idx="8">
                  <c:v>1.17</c:v>
                </c:pt>
                <c:pt idx="9">
                  <c:v>1.28</c:v>
                </c:pt>
              </c:numCache>
            </c:numRef>
          </c:val>
          <c:shape val="box"/>
        </c:ser>
        <c:ser>
          <c:idx val="9"/>
          <c:order val="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Table!$J$1:$J$10</c:f>
              <c:numCache>
                <c:ptCount val="10"/>
                <c:pt idx="3">
                  <c:v>1.91</c:v>
                </c:pt>
                <c:pt idx="4">
                  <c:v>2.2</c:v>
                </c:pt>
                <c:pt idx="5">
                  <c:v>2.28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hape val="box"/>
        </c:ser>
        <c:ser>
          <c:idx val="10"/>
          <c:order val="1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Table!$K$1:$K$10</c:f>
              <c:numCache>
                <c:ptCount val="10"/>
                <c:pt idx="3">
                  <c:v>1.9</c:v>
                </c:pt>
                <c:pt idx="4">
                  <c:v>1.93</c:v>
                </c:pt>
                <c:pt idx="5">
                  <c:v>2.54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hape val="box"/>
        </c:ser>
        <c:ser>
          <c:idx val="11"/>
          <c:order val="1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Table!$L$1:$L$10</c:f>
              <c:numCache>
                <c:ptCount val="10"/>
                <c:pt idx="3">
                  <c:v>1.65</c:v>
                </c:pt>
                <c:pt idx="4">
                  <c:v>1.69</c:v>
                </c:pt>
                <c:pt idx="5">
                  <c:v>2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hape val="box"/>
        </c:ser>
        <c:ser>
          <c:idx val="12"/>
          <c:order val="12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Table!$M$1:$M$10</c:f>
              <c:numCache>
                <c:ptCount val="10"/>
                <c:pt idx="1">
                  <c:v>2.04</c:v>
                </c:pt>
                <c:pt idx="2">
                  <c:v>1.61</c:v>
                </c:pt>
                <c:pt idx="3">
                  <c:v>1.81</c:v>
                </c:pt>
                <c:pt idx="4">
                  <c:v>1.78</c:v>
                </c:pt>
                <c:pt idx="5">
                  <c:v>2.04</c:v>
                </c:pt>
                <c:pt idx="8">
                  <c:v>1.22</c:v>
                </c:pt>
                <c:pt idx="9">
                  <c:v>1.3</c:v>
                </c:pt>
              </c:numCache>
            </c:numRef>
          </c:val>
          <c:shape val="box"/>
        </c:ser>
        <c:ser>
          <c:idx val="13"/>
          <c:order val="13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Table!$N$1:$N$10</c:f>
              <c:numCache>
                <c:ptCount val="10"/>
                <c:pt idx="1">
                  <c:v>2.55</c:v>
                </c:pt>
                <c:pt idx="2">
                  <c:v>1.9</c:v>
                </c:pt>
                <c:pt idx="3">
                  <c:v>2.01</c:v>
                </c:pt>
                <c:pt idx="4">
                  <c:v>1.96</c:v>
                </c:pt>
                <c:pt idx="5">
                  <c:v>2.33</c:v>
                </c:pt>
                <c:pt idx="8">
                  <c:v>1.23</c:v>
                </c:pt>
                <c:pt idx="9">
                  <c:v>1.3</c:v>
                </c:pt>
              </c:numCache>
            </c:numRef>
          </c:val>
          <c:shape val="box"/>
        </c:ser>
        <c:ser>
          <c:idx val="14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Table!$O$1:$O$10</c:f>
              <c:numCache>
                <c:ptCount val="10"/>
                <c:pt idx="1">
                  <c:v>3.04</c:v>
                </c:pt>
                <c:pt idx="2">
                  <c:v>2.19</c:v>
                </c:pt>
                <c:pt idx="3">
                  <c:v>2.16</c:v>
                </c:pt>
                <c:pt idx="4">
                  <c:v>2.05</c:v>
                </c:pt>
                <c:pt idx="5">
                  <c:v>2.02</c:v>
                </c:pt>
                <c:pt idx="8">
                  <c:v>1.24</c:v>
                </c:pt>
                <c:pt idx="9">
                  <c:v>1.3</c:v>
                </c:pt>
              </c:numCache>
            </c:numRef>
          </c:val>
          <c:shape val="box"/>
        </c:ser>
        <c:ser>
          <c:idx val="15"/>
          <c:order val="15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Table!$P$1:$P$10</c:f>
              <c:numCache>
                <c:ptCount val="10"/>
                <c:pt idx="1">
                  <c:v>3.44</c:v>
                </c:pt>
                <c:pt idx="2">
                  <c:v>2.58</c:v>
                </c:pt>
                <c:pt idx="3">
                  <c:v>2.55</c:v>
                </c:pt>
                <c:pt idx="4">
                  <c:v>2.1</c:v>
                </c:pt>
                <c:pt idx="5">
                  <c:v>2</c:v>
                </c:pt>
                <c:pt idx="8">
                  <c:v>1.25</c:v>
                </c:pt>
                <c:pt idx="9">
                  <c:v>1.3</c:v>
                </c:pt>
              </c:numCache>
            </c:numRef>
          </c:val>
          <c:shape val="box"/>
        </c:ser>
        <c:ser>
          <c:idx val="16"/>
          <c:order val="16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Table!$Q$1:$Q$10</c:f>
              <c:numCache>
                <c:ptCount val="10"/>
                <c:pt idx="1">
                  <c:v>3.98</c:v>
                </c:pt>
                <c:pt idx="2">
                  <c:v>3.16</c:v>
                </c:pt>
                <c:pt idx="3">
                  <c:v>2.96</c:v>
                </c:pt>
                <c:pt idx="4">
                  <c:v>2.66</c:v>
                </c:pt>
                <c:pt idx="5">
                  <c:v>2.2</c:v>
                </c:pt>
                <c:pt idx="8">
                  <c:v>1.1</c:v>
                </c:pt>
                <c:pt idx="9">
                  <c:v>1.3</c:v>
                </c:pt>
              </c:numCache>
            </c:numRef>
          </c:val>
          <c:shape val="box"/>
        </c:ser>
        <c:ser>
          <c:idx val="17"/>
          <c:order val="17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Table!$R$1:$R$10</c:f>
              <c:numCache>
                <c:ptCount val="10"/>
                <c:pt idx="8">
                  <c:v>1.27</c:v>
                </c:pt>
                <c:pt idx="9">
                  <c:v>1.3</c:v>
                </c:pt>
              </c:numCache>
            </c:numRef>
          </c:val>
          <c:shape val="box"/>
        </c:ser>
        <c:gapWidth val="10"/>
        <c:gapDepth val="10"/>
        <c:shape val="box"/>
        <c:axId val="58274144"/>
        <c:axId val="54705249"/>
        <c:axId val="22585194"/>
      </c:bar3DChart>
      <c:catAx>
        <c:axId val="58274144"/>
        <c:scaling>
          <c:orientation val="minMax"/>
        </c:scaling>
        <c:axPos val="b"/>
        <c:delete val="1"/>
        <c:majorTickMark val="out"/>
        <c:minorTickMark val="none"/>
        <c:tickLblPos val="low"/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between"/>
        <c:dispUnits/>
      </c:valAx>
      <c:serAx>
        <c:axId val="22585194"/>
        <c:scaling>
          <c:orientation val="minMax"/>
        </c:scaling>
        <c:axPos val="b"/>
        <c:delete val="1"/>
        <c:majorTickMark val="out"/>
        <c:minorTickMark val="none"/>
        <c:tickLblPos val="low"/>
        <c:crossAx val="547052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1.emf" /><Relationship Id="rId3" Type="http://schemas.openxmlformats.org/officeDocument/2006/relationships/image" Target="../media/image14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8.emf" /><Relationship Id="rId11" Type="http://schemas.openxmlformats.org/officeDocument/2006/relationships/image" Target="../media/image19.emf" /><Relationship Id="rId12" Type="http://schemas.openxmlformats.org/officeDocument/2006/relationships/image" Target="../media/image20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10.emf" /><Relationship Id="rId16" Type="http://schemas.openxmlformats.org/officeDocument/2006/relationships/image" Target="../media/image22.emf" /><Relationship Id="rId17" Type="http://schemas.openxmlformats.org/officeDocument/2006/relationships/image" Target="../media/image11.emf" /><Relationship Id="rId18" Type="http://schemas.openxmlformats.org/officeDocument/2006/relationships/image" Target="../media/image13.emf" /><Relationship Id="rId19" Type="http://schemas.openxmlformats.org/officeDocument/2006/relationships/image" Target="../media/image12.emf" /><Relationship Id="rId20" Type="http://schemas.openxmlformats.org/officeDocument/2006/relationships/image" Target="../media/image9.emf" /><Relationship Id="rId21" Type="http://schemas.openxmlformats.org/officeDocument/2006/relationships/image" Target="../media/image23.emf" /><Relationship Id="rId22" Type="http://schemas.openxmlformats.org/officeDocument/2006/relationships/image" Target="../media/image8.emf" /><Relationship Id="rId23" Type="http://schemas.openxmlformats.org/officeDocument/2006/relationships/image" Target="../media/image3.emf" /><Relationship Id="rId24" Type="http://schemas.openxmlformats.org/officeDocument/2006/relationships/image" Target="../media/image7.emf" /><Relationship Id="rId25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76200</xdr:rowOff>
    </xdr:from>
    <xdr:to>
      <xdr:col>2</xdr:col>
      <xdr:colOff>266700</xdr:colOff>
      <xdr:row>1</xdr:row>
      <xdr:rowOff>200025</xdr:rowOff>
    </xdr:to>
    <xdr:pic>
      <xdr:nvPicPr>
        <xdr:cNvPr id="1" name="BoilingPo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8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66675</xdr:rowOff>
    </xdr:from>
    <xdr:to>
      <xdr:col>3</xdr:col>
      <xdr:colOff>276225</xdr:colOff>
      <xdr:row>1</xdr:row>
      <xdr:rowOff>190500</xdr:rowOff>
    </xdr:to>
    <xdr:pic>
      <xdr:nvPicPr>
        <xdr:cNvPr id="2" name="MeltingPoi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</xdr:row>
      <xdr:rowOff>66675</xdr:rowOff>
    </xdr:from>
    <xdr:to>
      <xdr:col>4</xdr:col>
      <xdr:colOff>247650</xdr:colOff>
      <xdr:row>1</xdr:row>
      <xdr:rowOff>190500</xdr:rowOff>
    </xdr:to>
    <xdr:pic>
      <xdr:nvPicPr>
        <xdr:cNvPr id="3" name="Densit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66675</xdr:rowOff>
    </xdr:from>
    <xdr:to>
      <xdr:col>5</xdr:col>
      <xdr:colOff>323850</xdr:colOff>
      <xdr:row>1</xdr:row>
      <xdr:rowOff>190500</xdr:rowOff>
    </xdr:to>
    <xdr:pic>
      <xdr:nvPicPr>
        <xdr:cNvPr id="4" name="AtomicWeigh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</xdr:row>
      <xdr:rowOff>66675</xdr:rowOff>
    </xdr:from>
    <xdr:to>
      <xdr:col>6</xdr:col>
      <xdr:colOff>238125</xdr:colOff>
      <xdr:row>1</xdr:row>
      <xdr:rowOff>190500</xdr:rowOff>
    </xdr:to>
    <xdr:pic>
      <xdr:nvPicPr>
        <xdr:cNvPr id="5" name="MostStableOx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</xdr:row>
      <xdr:rowOff>66675</xdr:rowOff>
    </xdr:from>
    <xdr:to>
      <xdr:col>7</xdr:col>
      <xdr:colOff>228600</xdr:colOff>
      <xdr:row>1</xdr:row>
      <xdr:rowOff>190500</xdr:rowOff>
    </xdr:to>
    <xdr:pic>
      <xdr:nvPicPr>
        <xdr:cNvPr id="6" name="CovalentRadiu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4327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</xdr:row>
      <xdr:rowOff>66675</xdr:rowOff>
    </xdr:from>
    <xdr:to>
      <xdr:col>8</xdr:col>
      <xdr:colOff>247650</xdr:colOff>
      <xdr:row>1</xdr:row>
      <xdr:rowOff>190500</xdr:rowOff>
    </xdr:to>
    <xdr:pic>
      <xdr:nvPicPr>
        <xdr:cNvPr id="7" name="AtomicRadiu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433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</xdr:row>
      <xdr:rowOff>66675</xdr:rowOff>
    </xdr:from>
    <xdr:to>
      <xdr:col>9</xdr:col>
      <xdr:colOff>257175</xdr:colOff>
      <xdr:row>1</xdr:row>
      <xdr:rowOff>190500</xdr:rowOff>
    </xdr:to>
    <xdr:pic>
      <xdr:nvPicPr>
        <xdr:cNvPr id="8" name="FirstIonizationPotentia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</xdr:row>
      <xdr:rowOff>66675</xdr:rowOff>
    </xdr:from>
    <xdr:to>
      <xdr:col>10</xdr:col>
      <xdr:colOff>238125</xdr:colOff>
      <xdr:row>1</xdr:row>
      <xdr:rowOff>190500</xdr:rowOff>
    </xdr:to>
    <xdr:pic>
      <xdr:nvPicPr>
        <xdr:cNvPr id="9" name="SpecificHea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2437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66675</xdr:rowOff>
    </xdr:from>
    <xdr:to>
      <xdr:col>11</xdr:col>
      <xdr:colOff>266700</xdr:colOff>
      <xdr:row>1</xdr:row>
      <xdr:rowOff>190500</xdr:rowOff>
    </xdr:to>
    <xdr:pic>
      <xdr:nvPicPr>
        <xdr:cNvPr id="10" name="ThermalConductivity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339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</xdr:row>
      <xdr:rowOff>66675</xdr:rowOff>
    </xdr:from>
    <xdr:to>
      <xdr:col>12</xdr:col>
      <xdr:colOff>323850</xdr:colOff>
      <xdr:row>1</xdr:row>
      <xdr:rowOff>190500</xdr:rowOff>
    </xdr:to>
    <xdr:pic>
      <xdr:nvPicPr>
        <xdr:cNvPr id="11" name="ElectricalConductivit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</xdr:row>
      <xdr:rowOff>66675</xdr:rowOff>
    </xdr:from>
    <xdr:to>
      <xdr:col>13</xdr:col>
      <xdr:colOff>295275</xdr:colOff>
      <xdr:row>1</xdr:row>
      <xdr:rowOff>190500</xdr:rowOff>
    </xdr:to>
    <xdr:pic>
      <xdr:nvPicPr>
        <xdr:cNvPr id="12" name="HeatFusio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531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1</xdr:row>
      <xdr:rowOff>66675</xdr:rowOff>
    </xdr:from>
    <xdr:to>
      <xdr:col>14</xdr:col>
      <xdr:colOff>295275</xdr:colOff>
      <xdr:row>1</xdr:row>
      <xdr:rowOff>190500</xdr:rowOff>
    </xdr:to>
    <xdr:pic>
      <xdr:nvPicPr>
        <xdr:cNvPr id="13" name="HeatVaporizatio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198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</xdr:row>
      <xdr:rowOff>66675</xdr:rowOff>
    </xdr:from>
    <xdr:to>
      <xdr:col>15</xdr:col>
      <xdr:colOff>228600</xdr:colOff>
      <xdr:row>1</xdr:row>
      <xdr:rowOff>190500</xdr:rowOff>
    </xdr:to>
    <xdr:pic>
      <xdr:nvPicPr>
        <xdr:cNvPr id="14" name="ElectroNegitivit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1990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1</xdr:row>
      <xdr:rowOff>57150</xdr:rowOff>
    </xdr:from>
    <xdr:to>
      <xdr:col>16</xdr:col>
      <xdr:colOff>257175</xdr:colOff>
      <xdr:row>1</xdr:row>
      <xdr:rowOff>180975</xdr:rowOff>
    </xdr:to>
    <xdr:pic>
      <xdr:nvPicPr>
        <xdr:cNvPr id="15" name="NameLength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29475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</xdr:row>
      <xdr:rowOff>47625</xdr:rowOff>
    </xdr:from>
    <xdr:to>
      <xdr:col>17</xdr:col>
      <xdr:colOff>228600</xdr:colOff>
      <xdr:row>1</xdr:row>
      <xdr:rowOff>171450</xdr:rowOff>
    </xdr:to>
    <xdr:pic>
      <xdr:nvPicPr>
        <xdr:cNvPr id="16" name="YearsSinceDiscover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819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1</xdr:row>
      <xdr:rowOff>38100</xdr:rowOff>
    </xdr:from>
    <xdr:to>
      <xdr:col>18</xdr:col>
      <xdr:colOff>238125</xdr:colOff>
      <xdr:row>1</xdr:row>
      <xdr:rowOff>161925</xdr:rowOff>
    </xdr:to>
    <xdr:pic>
      <xdr:nvPicPr>
        <xdr:cNvPr id="17" name="SecondOxidationStat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7242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171450</xdr:colOff>
      <xdr:row>1</xdr:row>
      <xdr:rowOff>190500</xdr:rowOff>
    </xdr:to>
    <xdr:pic>
      <xdr:nvPicPr>
        <xdr:cNvPr id="18" name="AtomicNumber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57250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</xdr:colOff>
      <xdr:row>1</xdr:row>
      <xdr:rowOff>57150</xdr:rowOff>
    </xdr:from>
    <xdr:to>
      <xdr:col>19</xdr:col>
      <xdr:colOff>219075</xdr:colOff>
      <xdr:row>1</xdr:row>
      <xdr:rowOff>180975</xdr:rowOff>
    </xdr:to>
    <xdr:pic>
      <xdr:nvPicPr>
        <xdr:cNvPr id="19" name="ThirdOxidationStat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34375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1</xdr:row>
      <xdr:rowOff>38100</xdr:rowOff>
    </xdr:from>
    <xdr:to>
      <xdr:col>20</xdr:col>
      <xdr:colOff>238125</xdr:colOff>
      <xdr:row>1</xdr:row>
      <xdr:rowOff>161925</xdr:rowOff>
    </xdr:to>
    <xdr:pic>
      <xdr:nvPicPr>
        <xdr:cNvPr id="20" name="FourthOxidationState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69632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1</xdr:row>
      <xdr:rowOff>38100</xdr:rowOff>
    </xdr:from>
    <xdr:to>
      <xdr:col>21</xdr:col>
      <xdr:colOff>352425</xdr:colOff>
      <xdr:row>1</xdr:row>
      <xdr:rowOff>161925</xdr:rowOff>
    </xdr:to>
    <xdr:pic>
      <xdr:nvPicPr>
        <xdr:cNvPr id="21" name="OptionButton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15352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247650</xdr:colOff>
      <xdr:row>1</xdr:row>
      <xdr:rowOff>38100</xdr:rowOff>
    </xdr:from>
    <xdr:to>
      <xdr:col>22</xdr:col>
      <xdr:colOff>371475</xdr:colOff>
      <xdr:row>1</xdr:row>
      <xdr:rowOff>161925</xdr:rowOff>
    </xdr:to>
    <xdr:pic>
      <xdr:nvPicPr>
        <xdr:cNvPr id="22" name="OptionButton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78217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1</xdr:row>
      <xdr:rowOff>47625</xdr:rowOff>
    </xdr:from>
    <xdr:to>
      <xdr:col>23</xdr:col>
      <xdr:colOff>381000</xdr:colOff>
      <xdr:row>1</xdr:row>
      <xdr:rowOff>171450</xdr:rowOff>
    </xdr:to>
    <xdr:pic>
      <xdr:nvPicPr>
        <xdr:cNvPr id="23" name="OptionButton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4013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1</xdr:row>
      <xdr:rowOff>47625</xdr:rowOff>
    </xdr:from>
    <xdr:to>
      <xdr:col>24</xdr:col>
      <xdr:colOff>371475</xdr:colOff>
      <xdr:row>1</xdr:row>
      <xdr:rowOff>171450</xdr:rowOff>
    </xdr:to>
    <xdr:pic>
      <xdr:nvPicPr>
        <xdr:cNvPr id="24" name="OptionButton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001375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1</xdr:row>
      <xdr:rowOff>38100</xdr:rowOff>
    </xdr:from>
    <xdr:to>
      <xdr:col>25</xdr:col>
      <xdr:colOff>371475</xdr:colOff>
      <xdr:row>1</xdr:row>
      <xdr:rowOff>161925</xdr:rowOff>
    </xdr:to>
    <xdr:pic>
      <xdr:nvPicPr>
        <xdr:cNvPr id="25" name="OptionButton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610975" y="9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%20%20C%20Drive\inorganic\p-tren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"/>
      <sheetName val="MP"/>
      <sheetName val="BP"/>
      <sheetName val="SpGr"/>
      <sheetName val="at.wt."/>
      <sheetName val="ox. state"/>
      <sheetName val="radii"/>
      <sheetName val="first IP"/>
      <sheetName val="Cp"/>
      <sheetName val="thermal cond"/>
      <sheetName val="elect. cond."/>
      <sheetName val="Heat of Fus"/>
      <sheetName val="heat of vap"/>
      <sheetName val="electronegativity"/>
      <sheetName val="2nd most common ox state"/>
      <sheetName val="mg per Kg crust"/>
      <sheetName val="years since discovery"/>
      <sheetName val="name length vs. age"/>
      <sheetName val="electroneg vs ox state"/>
      <sheetName val="Sheet2"/>
      <sheetName val="Sheet1"/>
      <sheetName val="p.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"/>
  <sheetViews>
    <sheetView workbookViewId="0" topLeftCell="C1">
      <selection activeCell="Q2" sqref="Q2"/>
    </sheetView>
  </sheetViews>
  <sheetFormatPr defaultColWidth="9.140625" defaultRowHeight="12.75"/>
  <cols>
    <col min="1" max="18" width="6.7109375" style="0" customWidth="1"/>
  </cols>
  <sheetData>
    <row r="1" ht="12.75">
      <c r="A1">
        <v>2.2</v>
      </c>
    </row>
    <row r="2" spans="1:17" ht="12.75">
      <c r="A2">
        <v>0.98</v>
      </c>
      <c r="B2">
        <v>1.57</v>
      </c>
      <c r="M2">
        <v>2.04</v>
      </c>
      <c r="N2">
        <v>2.55</v>
      </c>
      <c r="O2">
        <v>3.04</v>
      </c>
      <c r="P2">
        <v>3.44</v>
      </c>
      <c r="Q2">
        <v>3.98</v>
      </c>
    </row>
    <row r="3" spans="1:17" ht="12.75">
      <c r="A3">
        <v>0.93</v>
      </c>
      <c r="B3">
        <v>1.31</v>
      </c>
      <c r="M3">
        <v>1.61</v>
      </c>
      <c r="N3">
        <v>1.9</v>
      </c>
      <c r="O3">
        <v>2.19</v>
      </c>
      <c r="P3">
        <v>2.58</v>
      </c>
      <c r="Q3">
        <v>3.16</v>
      </c>
    </row>
    <row r="4" spans="1:17" ht="12.75">
      <c r="A4">
        <v>0.82</v>
      </c>
      <c r="B4">
        <v>1</v>
      </c>
      <c r="C4">
        <v>1.36</v>
      </c>
      <c r="D4">
        <v>1.54</v>
      </c>
      <c r="E4">
        <v>1.63</v>
      </c>
      <c r="F4">
        <v>1.66</v>
      </c>
      <c r="G4">
        <v>1.55</v>
      </c>
      <c r="H4">
        <v>1.83</v>
      </c>
      <c r="I4">
        <v>1.88</v>
      </c>
      <c r="J4">
        <v>1.91</v>
      </c>
      <c r="K4">
        <v>1.9</v>
      </c>
      <c r="L4">
        <v>1.65</v>
      </c>
      <c r="M4">
        <v>1.81</v>
      </c>
      <c r="N4">
        <v>2.01</v>
      </c>
      <c r="O4">
        <v>2.16</v>
      </c>
      <c r="P4">
        <v>2.55</v>
      </c>
      <c r="Q4">
        <v>2.96</v>
      </c>
    </row>
    <row r="5" spans="1:17" ht="12.75">
      <c r="A5">
        <v>0.82</v>
      </c>
      <c r="B5">
        <v>0.95</v>
      </c>
      <c r="C5">
        <v>1.22</v>
      </c>
      <c r="D5">
        <v>1.22</v>
      </c>
      <c r="E5">
        <v>1.6</v>
      </c>
      <c r="F5">
        <v>2.16</v>
      </c>
      <c r="G5">
        <v>1.9</v>
      </c>
      <c r="H5">
        <v>2.2</v>
      </c>
      <c r="I5">
        <v>2.28</v>
      </c>
      <c r="J5">
        <v>2.2</v>
      </c>
      <c r="K5">
        <v>1.93</v>
      </c>
      <c r="L5">
        <v>1.69</v>
      </c>
      <c r="M5">
        <v>1.78</v>
      </c>
      <c r="N5">
        <v>1.96</v>
      </c>
      <c r="O5">
        <v>2.05</v>
      </c>
      <c r="P5">
        <v>2.1</v>
      </c>
      <c r="Q5">
        <v>2.66</v>
      </c>
    </row>
    <row r="6" spans="1:17" ht="12.75">
      <c r="A6">
        <v>0.79</v>
      </c>
      <c r="B6">
        <v>0.89</v>
      </c>
      <c r="D6">
        <v>1.3</v>
      </c>
      <c r="E6">
        <v>1.5</v>
      </c>
      <c r="F6">
        <v>2.36</v>
      </c>
      <c r="G6">
        <v>1.9</v>
      </c>
      <c r="H6">
        <v>2.2</v>
      </c>
      <c r="I6">
        <v>2.2</v>
      </c>
      <c r="J6">
        <v>2.28</v>
      </c>
      <c r="K6">
        <v>2.54</v>
      </c>
      <c r="L6">
        <v>2</v>
      </c>
      <c r="M6">
        <v>2.04</v>
      </c>
      <c r="N6">
        <v>2.33</v>
      </c>
      <c r="O6">
        <v>2.02</v>
      </c>
      <c r="P6">
        <v>2</v>
      </c>
      <c r="Q6">
        <v>2.2</v>
      </c>
    </row>
    <row r="7" spans="1:4" ht="12.75">
      <c r="A7">
        <v>0.7</v>
      </c>
      <c r="B7">
        <v>0.9</v>
      </c>
      <c r="D7">
        <v>1.3</v>
      </c>
    </row>
    <row r="9" spans="4:18" ht="12.75">
      <c r="D9">
        <v>1.1</v>
      </c>
      <c r="E9">
        <v>1.12</v>
      </c>
      <c r="F9">
        <v>1.13</v>
      </c>
      <c r="G9">
        <v>1.14</v>
      </c>
      <c r="H9">
        <v>1.13</v>
      </c>
      <c r="I9">
        <v>1.17</v>
      </c>
      <c r="J9">
        <v>1.2</v>
      </c>
      <c r="K9">
        <v>1.2</v>
      </c>
      <c r="L9">
        <v>1.2</v>
      </c>
      <c r="M9">
        <v>1.22</v>
      </c>
      <c r="N9">
        <v>1.23</v>
      </c>
      <c r="O9">
        <v>1.24</v>
      </c>
      <c r="P9">
        <v>1.25</v>
      </c>
      <c r="Q9">
        <v>1.1</v>
      </c>
      <c r="R9">
        <v>1.27</v>
      </c>
    </row>
    <row r="10" spans="4:18" ht="12.75">
      <c r="D10">
        <v>1.1</v>
      </c>
      <c r="E10">
        <v>1.3</v>
      </c>
      <c r="F10">
        <v>1.5</v>
      </c>
      <c r="G10">
        <v>1.38</v>
      </c>
      <c r="H10">
        <v>1.36</v>
      </c>
      <c r="I10">
        <v>1.28</v>
      </c>
      <c r="J10">
        <v>1.3</v>
      </c>
      <c r="K10">
        <v>1.3</v>
      </c>
      <c r="L10">
        <v>1.3</v>
      </c>
      <c r="M10">
        <v>1.3</v>
      </c>
      <c r="N10">
        <v>1.3</v>
      </c>
      <c r="O10">
        <v>1.3</v>
      </c>
      <c r="P10">
        <v>1.3</v>
      </c>
      <c r="Q10">
        <v>1.3</v>
      </c>
      <c r="R10">
        <v>1.3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23"/>
  <sheetViews>
    <sheetView tabSelected="1" workbookViewId="0" topLeftCell="A1">
      <selection activeCell="A21" sqref="A21:A27"/>
    </sheetView>
  </sheetViews>
  <sheetFormatPr defaultColWidth="9.140625" defaultRowHeight="12.75"/>
  <cols>
    <col min="1" max="1" width="12.140625" style="0" bestFit="1" customWidth="1"/>
    <col min="2" max="2" width="3.57421875" style="0" bestFit="1" customWidth="1"/>
    <col min="3" max="3" width="6.140625" style="0" bestFit="1" customWidth="1"/>
    <col min="4" max="4" width="7.00390625" style="0" bestFit="1" customWidth="1"/>
    <col min="5" max="5" width="6.140625" style="0" bestFit="1" customWidth="1"/>
    <col min="6" max="6" width="7.8515625" style="0" bestFit="1" customWidth="1"/>
    <col min="7" max="9" width="5.7109375" style="0" bestFit="1" customWidth="1"/>
    <col min="10" max="10" width="6.14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7.00390625" style="0" bestFit="1" customWidth="1"/>
    <col min="16" max="17" width="5.7109375" style="0" bestFit="1" customWidth="1"/>
    <col min="18" max="19" width="5.7109375" style="4" bestFit="1" customWidth="1"/>
    <col min="20" max="21" width="5.140625" style="4" customWidth="1"/>
  </cols>
  <sheetData>
    <row r="1" spans="1:21" ht="71.25" customHeight="1">
      <c r="A1" s="1" t="s">
        <v>0</v>
      </c>
      <c r="B1" s="2" t="s">
        <v>113</v>
      </c>
      <c r="C1" s="2" t="s">
        <v>114</v>
      </c>
      <c r="D1" s="2" t="s">
        <v>115</v>
      </c>
      <c r="E1" s="2" t="s">
        <v>1</v>
      </c>
      <c r="F1" s="2" t="s">
        <v>116</v>
      </c>
      <c r="G1" s="2" t="s">
        <v>117</v>
      </c>
      <c r="H1" s="2" t="s">
        <v>118</v>
      </c>
      <c r="I1" s="2" t="s">
        <v>126</v>
      </c>
      <c r="J1" s="2" t="s">
        <v>119</v>
      </c>
      <c r="K1" s="2" t="s">
        <v>120</v>
      </c>
      <c r="L1" s="1" t="s">
        <v>121</v>
      </c>
      <c r="M1" s="1" t="s">
        <v>122</v>
      </c>
      <c r="N1" s="1" t="s">
        <v>123</v>
      </c>
      <c r="O1" s="2" t="s">
        <v>124</v>
      </c>
      <c r="P1" s="2" t="s">
        <v>125</v>
      </c>
      <c r="Q1" s="1" t="s">
        <v>241</v>
      </c>
      <c r="R1" s="1" t="s">
        <v>242</v>
      </c>
      <c r="S1" s="1" t="s">
        <v>244</v>
      </c>
      <c r="T1" s="1" t="s">
        <v>245</v>
      </c>
      <c r="U1" s="1" t="s">
        <v>246</v>
      </c>
    </row>
    <row r="2" spans="1:17" ht="17.25" customHeight="1">
      <c r="A2" s="3" t="s">
        <v>240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  <c r="M2" s="6"/>
      <c r="N2" s="7"/>
      <c r="O2" s="4"/>
      <c r="P2" s="4"/>
      <c r="Q2" s="4"/>
    </row>
    <row r="3" spans="1:21" ht="12.75">
      <c r="A3" s="8" t="s">
        <v>2</v>
      </c>
      <c r="B3" s="9">
        <v>1</v>
      </c>
      <c r="C3" s="9">
        <v>20.28</v>
      </c>
      <c r="D3" s="9">
        <v>13.81</v>
      </c>
      <c r="E3" s="9">
        <v>0.0899</v>
      </c>
      <c r="F3" s="9">
        <v>1.00797</v>
      </c>
      <c r="G3" s="9">
        <v>1</v>
      </c>
      <c r="H3" s="9">
        <v>0.32</v>
      </c>
      <c r="I3" s="9">
        <v>0.79</v>
      </c>
      <c r="J3" s="9">
        <v>13.598</v>
      </c>
      <c r="K3" s="9"/>
      <c r="L3" s="10">
        <v>0.1815</v>
      </c>
      <c r="M3" s="10"/>
      <c r="N3" s="11">
        <v>0.0585</v>
      </c>
      <c r="O3" s="9">
        <v>0.4581</v>
      </c>
      <c r="P3" s="9">
        <v>2.2</v>
      </c>
      <c r="Q3" s="33">
        <f>LEN(A3)</f>
        <v>8</v>
      </c>
      <c r="R3" s="34">
        <f ca="1">YEAR(NOW())-1766</f>
        <v>240</v>
      </c>
      <c r="S3" s="10"/>
      <c r="T3" s="10"/>
      <c r="U3" s="10"/>
    </row>
    <row r="4" spans="1:21" ht="12.75">
      <c r="A4" s="8" t="s">
        <v>239</v>
      </c>
      <c r="B4" s="9">
        <f>B3+1</f>
        <v>2</v>
      </c>
      <c r="C4" s="9">
        <v>4.216</v>
      </c>
      <c r="D4" s="9">
        <v>0.95</v>
      </c>
      <c r="E4" s="9">
        <v>0.1785</v>
      </c>
      <c r="F4" s="9">
        <v>4.0026</v>
      </c>
      <c r="G4" s="9">
        <v>0</v>
      </c>
      <c r="H4" s="9">
        <v>0.93</v>
      </c>
      <c r="I4" s="9">
        <v>0.49</v>
      </c>
      <c r="J4" s="9">
        <v>24.587</v>
      </c>
      <c r="K4" s="9"/>
      <c r="L4" s="10">
        <v>0.152</v>
      </c>
      <c r="M4" s="10"/>
      <c r="N4" s="11">
        <v>0.021</v>
      </c>
      <c r="O4" s="9">
        <v>0.084</v>
      </c>
      <c r="P4" s="12"/>
      <c r="Q4" s="33">
        <f aca="true" t="shared" si="0" ref="Q4:Q67">LEN(A4)</f>
        <v>6</v>
      </c>
      <c r="R4" s="10">
        <f ca="1">YEAR(NOW())-1868</f>
        <v>138</v>
      </c>
      <c r="S4" s="10"/>
      <c r="T4" s="10"/>
      <c r="U4" s="10"/>
    </row>
    <row r="5" spans="1:18" ht="12.75">
      <c r="A5" s="13" t="s">
        <v>3</v>
      </c>
      <c r="B5" s="5">
        <f aca="true" t="shared" si="1" ref="B5:B68">B4+1</f>
        <v>3</v>
      </c>
      <c r="C5" s="5">
        <v>1615</v>
      </c>
      <c r="D5" s="5">
        <v>453.7</v>
      </c>
      <c r="E5" s="5">
        <v>0.53</v>
      </c>
      <c r="F5" s="5">
        <v>6.941</v>
      </c>
      <c r="G5" s="5">
        <v>1</v>
      </c>
      <c r="H5" s="5">
        <v>1.23</v>
      </c>
      <c r="I5" s="5">
        <v>2.05</v>
      </c>
      <c r="J5" s="5">
        <v>5.392</v>
      </c>
      <c r="K5" s="5">
        <v>3.582</v>
      </c>
      <c r="L5" s="4">
        <v>84.7</v>
      </c>
      <c r="M5" s="4">
        <v>11.7</v>
      </c>
      <c r="N5" s="7">
        <v>3</v>
      </c>
      <c r="O5" s="5">
        <v>147.1</v>
      </c>
      <c r="P5" s="5">
        <v>0.98</v>
      </c>
      <c r="Q5" s="33">
        <f t="shared" si="0"/>
        <v>7</v>
      </c>
      <c r="R5" s="4">
        <f ca="1">YEAR(NOW())-1817</f>
        <v>189</v>
      </c>
    </row>
    <row r="6" spans="1:18" ht="12.75">
      <c r="A6" s="13" t="s">
        <v>4</v>
      </c>
      <c r="B6" s="5">
        <f t="shared" si="1"/>
        <v>4</v>
      </c>
      <c r="C6" s="5">
        <v>3243</v>
      </c>
      <c r="D6" s="5">
        <v>1560</v>
      </c>
      <c r="E6" s="5">
        <v>1.85</v>
      </c>
      <c r="F6" s="5">
        <v>9.01218</v>
      </c>
      <c r="G6" s="5">
        <v>2</v>
      </c>
      <c r="H6" s="5">
        <v>0.9</v>
      </c>
      <c r="I6" s="5">
        <v>1.4</v>
      </c>
      <c r="J6" s="5">
        <v>9.322</v>
      </c>
      <c r="K6" s="5">
        <v>1.825</v>
      </c>
      <c r="L6" s="4">
        <v>200</v>
      </c>
      <c r="M6" s="4">
        <v>25</v>
      </c>
      <c r="N6" s="7">
        <v>11.71</v>
      </c>
      <c r="O6" s="5">
        <v>297</v>
      </c>
      <c r="P6" s="5">
        <v>1.57</v>
      </c>
      <c r="Q6" s="33">
        <f t="shared" si="0"/>
        <v>9</v>
      </c>
      <c r="R6" s="4">
        <f ca="1">YEAR(NOW())-1798</f>
        <v>208</v>
      </c>
    </row>
    <row r="7" spans="1:18" ht="12.75">
      <c r="A7" s="13" t="s">
        <v>5</v>
      </c>
      <c r="B7" s="5">
        <f t="shared" si="1"/>
        <v>5</v>
      </c>
      <c r="C7" s="5">
        <v>4275</v>
      </c>
      <c r="D7" s="5">
        <v>2365</v>
      </c>
      <c r="E7" s="5">
        <v>2.34</v>
      </c>
      <c r="F7" s="5">
        <v>10.811</v>
      </c>
      <c r="G7" s="5">
        <v>3</v>
      </c>
      <c r="H7" s="5">
        <v>0.82</v>
      </c>
      <c r="I7" s="5">
        <v>1.17</v>
      </c>
      <c r="J7" s="5">
        <v>5.298</v>
      </c>
      <c r="K7" s="5">
        <v>1.026</v>
      </c>
      <c r="L7" s="4">
        <v>27</v>
      </c>
      <c r="M7" s="4">
        <v>5E-12</v>
      </c>
      <c r="N7" s="7">
        <v>22.6</v>
      </c>
      <c r="O7" s="5">
        <v>507.8</v>
      </c>
      <c r="P7" s="5">
        <v>2.04</v>
      </c>
      <c r="Q7" s="33">
        <f t="shared" si="0"/>
        <v>5</v>
      </c>
      <c r="R7" s="4">
        <f ca="1">YEAR(NOW())-1808</f>
        <v>198</v>
      </c>
    </row>
    <row r="8" spans="1:19" ht="12.75">
      <c r="A8" s="13" t="s">
        <v>6</v>
      </c>
      <c r="B8" s="5">
        <f t="shared" si="1"/>
        <v>6</v>
      </c>
      <c r="C8" s="5">
        <v>5100</v>
      </c>
      <c r="D8" s="5">
        <v>3825</v>
      </c>
      <c r="E8" s="5">
        <v>2.26</v>
      </c>
      <c r="F8" s="5">
        <v>12.011</v>
      </c>
      <c r="G8" s="5">
        <v>4</v>
      </c>
      <c r="H8" s="5">
        <v>0.77</v>
      </c>
      <c r="I8" s="5">
        <v>0.91</v>
      </c>
      <c r="J8" s="5">
        <v>11.26</v>
      </c>
      <c r="K8" s="5">
        <v>0.709</v>
      </c>
      <c r="L8" s="4"/>
      <c r="M8" s="4">
        <v>0.07</v>
      </c>
      <c r="N8" s="7"/>
      <c r="O8" s="5">
        <v>715</v>
      </c>
      <c r="P8" s="5">
        <v>2.55</v>
      </c>
      <c r="Q8" s="33">
        <f t="shared" si="0"/>
        <v>6</v>
      </c>
      <c r="R8" s="4" t="s">
        <v>243</v>
      </c>
      <c r="S8" s="4">
        <v>2</v>
      </c>
    </row>
    <row r="9" spans="1:21" ht="12.75">
      <c r="A9" s="8" t="s">
        <v>7</v>
      </c>
      <c r="B9" s="9">
        <f t="shared" si="1"/>
        <v>7</v>
      </c>
      <c r="C9" s="9">
        <v>77.344</v>
      </c>
      <c r="D9" s="9">
        <v>63.15</v>
      </c>
      <c r="E9" s="9">
        <v>1.251</v>
      </c>
      <c r="F9" s="9">
        <v>14.0067</v>
      </c>
      <c r="G9" s="9">
        <v>3</v>
      </c>
      <c r="H9" s="9">
        <v>0.75</v>
      </c>
      <c r="I9" s="9">
        <v>0.75</v>
      </c>
      <c r="J9" s="9">
        <v>14.534</v>
      </c>
      <c r="K9" s="9">
        <v>1.042</v>
      </c>
      <c r="L9" s="10">
        <v>0.02598</v>
      </c>
      <c r="M9" s="10"/>
      <c r="N9" s="11">
        <v>0.36</v>
      </c>
      <c r="O9" s="9">
        <v>2.7928</v>
      </c>
      <c r="P9" s="9">
        <v>3.04</v>
      </c>
      <c r="Q9" s="33">
        <f t="shared" si="0"/>
        <v>8</v>
      </c>
      <c r="R9" s="10">
        <f ca="1">YEAR(NOW())-1772</f>
        <v>234</v>
      </c>
      <c r="S9" s="10">
        <v>5</v>
      </c>
      <c r="T9" s="10">
        <v>4</v>
      </c>
      <c r="U9" s="10">
        <v>2</v>
      </c>
    </row>
    <row r="10" spans="1:21" ht="12.75">
      <c r="A10" s="8" t="s">
        <v>8</v>
      </c>
      <c r="B10" s="9">
        <f t="shared" si="1"/>
        <v>8</v>
      </c>
      <c r="C10" s="9">
        <v>90.188</v>
      </c>
      <c r="D10" s="9">
        <v>54.8</v>
      </c>
      <c r="E10" s="9">
        <v>1.429</v>
      </c>
      <c r="F10" s="9">
        <v>15.9994</v>
      </c>
      <c r="G10" s="9">
        <v>2</v>
      </c>
      <c r="H10" s="9">
        <v>0.73</v>
      </c>
      <c r="I10" s="9">
        <v>0.65</v>
      </c>
      <c r="J10" s="9">
        <v>13.618</v>
      </c>
      <c r="K10" s="9">
        <v>0.92</v>
      </c>
      <c r="L10" s="10">
        <v>0.2674</v>
      </c>
      <c r="M10" s="10"/>
      <c r="N10" s="11">
        <v>0.222</v>
      </c>
      <c r="O10" s="9">
        <v>3.4109</v>
      </c>
      <c r="P10" s="9">
        <v>3.44</v>
      </c>
      <c r="Q10" s="33">
        <f t="shared" si="0"/>
        <v>6</v>
      </c>
      <c r="R10" s="10">
        <f ca="1">YEAR(NOW())-1774</f>
        <v>232</v>
      </c>
      <c r="S10" s="10"/>
      <c r="T10" s="10"/>
      <c r="U10" s="10"/>
    </row>
    <row r="11" spans="1:21" ht="12.75">
      <c r="A11" s="8" t="s">
        <v>9</v>
      </c>
      <c r="B11" s="9">
        <f t="shared" si="1"/>
        <v>9</v>
      </c>
      <c r="C11" s="9">
        <v>85</v>
      </c>
      <c r="D11" s="9">
        <v>53.55</v>
      </c>
      <c r="E11" s="9">
        <v>1.696</v>
      </c>
      <c r="F11" s="9">
        <v>18.9984</v>
      </c>
      <c r="G11" s="9">
        <v>1</v>
      </c>
      <c r="H11" s="9">
        <v>0.72</v>
      </c>
      <c r="I11" s="9">
        <v>0.57</v>
      </c>
      <c r="J11" s="9">
        <v>17.422</v>
      </c>
      <c r="K11" s="9">
        <v>0.824</v>
      </c>
      <c r="L11" s="10">
        <v>0.0279</v>
      </c>
      <c r="M11" s="10"/>
      <c r="N11" s="11">
        <v>0.26</v>
      </c>
      <c r="O11" s="9">
        <v>3.2698</v>
      </c>
      <c r="P11" s="9">
        <v>3.98</v>
      </c>
      <c r="Q11" s="33">
        <f t="shared" si="0"/>
        <v>8</v>
      </c>
      <c r="R11" s="10">
        <f ca="1">YEAR(NOW())-1866</f>
        <v>140</v>
      </c>
      <c r="S11" s="10"/>
      <c r="T11" s="10"/>
      <c r="U11" s="10"/>
    </row>
    <row r="12" spans="1:21" ht="12.75">
      <c r="A12" s="8" t="s">
        <v>10</v>
      </c>
      <c r="B12" s="9">
        <f t="shared" si="1"/>
        <v>10</v>
      </c>
      <c r="C12" s="9">
        <v>27.1</v>
      </c>
      <c r="D12" s="9">
        <v>24.55</v>
      </c>
      <c r="E12" s="9">
        <v>0.9</v>
      </c>
      <c r="F12" s="9">
        <v>20.1797</v>
      </c>
      <c r="G12" s="9">
        <v>0</v>
      </c>
      <c r="H12" s="9">
        <v>0.71</v>
      </c>
      <c r="I12" s="9">
        <v>0.51</v>
      </c>
      <c r="J12" s="9">
        <v>21.564</v>
      </c>
      <c r="K12" s="9">
        <v>1.03</v>
      </c>
      <c r="L12" s="10">
        <v>0.0493</v>
      </c>
      <c r="M12" s="10"/>
      <c r="N12" s="11">
        <v>0.34</v>
      </c>
      <c r="O12" s="9">
        <v>1.77</v>
      </c>
      <c r="P12" s="12"/>
      <c r="Q12" s="33">
        <f t="shared" si="0"/>
        <v>4</v>
      </c>
      <c r="R12" s="10">
        <f ca="1">YEAR(NOW())-1898</f>
        <v>108</v>
      </c>
      <c r="S12" s="10"/>
      <c r="T12" s="10"/>
      <c r="U12" s="10"/>
    </row>
    <row r="13" spans="1:18" ht="12.75">
      <c r="A13" s="13" t="s">
        <v>11</v>
      </c>
      <c r="B13" s="5">
        <f t="shared" si="1"/>
        <v>11</v>
      </c>
      <c r="C13" s="5">
        <v>1156</v>
      </c>
      <c r="D13" s="5">
        <v>371</v>
      </c>
      <c r="E13" s="5">
        <v>0.97</v>
      </c>
      <c r="F13" s="5">
        <v>22.98977</v>
      </c>
      <c r="G13" s="5">
        <v>1</v>
      </c>
      <c r="H13" s="5">
        <v>1.54</v>
      </c>
      <c r="I13" s="5">
        <v>2.23</v>
      </c>
      <c r="J13" s="5">
        <v>5.139</v>
      </c>
      <c r="K13" s="5">
        <v>1.23</v>
      </c>
      <c r="L13" s="4">
        <v>141</v>
      </c>
      <c r="M13" s="4">
        <v>20.1</v>
      </c>
      <c r="N13" s="7">
        <v>2.601</v>
      </c>
      <c r="O13" s="5">
        <v>98.01</v>
      </c>
      <c r="P13" s="5">
        <v>0.93</v>
      </c>
      <c r="Q13" s="33">
        <f t="shared" si="0"/>
        <v>6</v>
      </c>
      <c r="R13" s="4">
        <f ca="1">YEAR(NOW())-1807</f>
        <v>199</v>
      </c>
    </row>
    <row r="14" spans="1:18" ht="12.75">
      <c r="A14" s="13" t="s">
        <v>12</v>
      </c>
      <c r="B14" s="5">
        <f t="shared" si="1"/>
        <v>12</v>
      </c>
      <c r="C14" s="5">
        <v>1380</v>
      </c>
      <c r="D14" s="5">
        <v>922</v>
      </c>
      <c r="E14" s="5">
        <v>1.74</v>
      </c>
      <c r="F14" s="5">
        <v>24.305</v>
      </c>
      <c r="G14" s="5">
        <v>2</v>
      </c>
      <c r="H14" s="5">
        <v>1.36</v>
      </c>
      <c r="I14" s="5">
        <v>1.72</v>
      </c>
      <c r="J14" s="5">
        <v>7.646</v>
      </c>
      <c r="K14" s="5">
        <v>1.02</v>
      </c>
      <c r="L14" s="4">
        <v>156</v>
      </c>
      <c r="M14" s="4">
        <v>22.4</v>
      </c>
      <c r="N14" s="7">
        <v>8.95</v>
      </c>
      <c r="O14" s="5">
        <v>127.6</v>
      </c>
      <c r="P14" s="5">
        <v>1.31</v>
      </c>
      <c r="Q14" s="33">
        <f t="shared" si="0"/>
        <v>9</v>
      </c>
      <c r="R14" s="4">
        <f ca="1">YEAR(NOW())-1808</f>
        <v>198</v>
      </c>
    </row>
    <row r="15" spans="1:18" ht="12.75">
      <c r="A15" s="13" t="s">
        <v>13</v>
      </c>
      <c r="B15" s="5">
        <f t="shared" si="1"/>
        <v>13</v>
      </c>
      <c r="C15" s="5">
        <v>2740</v>
      </c>
      <c r="D15" s="5">
        <v>933.5</v>
      </c>
      <c r="E15" s="5">
        <v>2.7</v>
      </c>
      <c r="F15" s="5">
        <v>26.98154</v>
      </c>
      <c r="G15" s="5">
        <v>3</v>
      </c>
      <c r="H15" s="5">
        <v>1.18</v>
      </c>
      <c r="I15" s="5">
        <v>1.62</v>
      </c>
      <c r="J15" s="5">
        <v>5.986</v>
      </c>
      <c r="K15" s="5">
        <v>0.9</v>
      </c>
      <c r="L15" s="4">
        <v>237</v>
      </c>
      <c r="M15" s="4">
        <v>37.7</v>
      </c>
      <c r="N15" s="7">
        <v>10.7</v>
      </c>
      <c r="O15" s="5">
        <v>290.8</v>
      </c>
      <c r="P15" s="5">
        <v>1.61</v>
      </c>
      <c r="Q15" s="33">
        <f t="shared" si="0"/>
        <v>8</v>
      </c>
      <c r="R15" s="4">
        <f ca="1">YEAR(NOW())-1825</f>
        <v>181</v>
      </c>
    </row>
    <row r="16" spans="1:19" ht="12.75">
      <c r="A16" s="13" t="s">
        <v>14</v>
      </c>
      <c r="B16" s="5">
        <f t="shared" si="1"/>
        <v>14</v>
      </c>
      <c r="C16" s="5">
        <v>2630</v>
      </c>
      <c r="D16" s="5">
        <v>1683</v>
      </c>
      <c r="E16" s="5">
        <v>2.33</v>
      </c>
      <c r="F16" s="5">
        <v>28.0855</v>
      </c>
      <c r="G16" s="5">
        <v>4</v>
      </c>
      <c r="H16" s="5">
        <v>1.11</v>
      </c>
      <c r="I16" s="5">
        <v>1.44</v>
      </c>
      <c r="J16" s="5">
        <v>8.151</v>
      </c>
      <c r="K16" s="5">
        <v>0.7</v>
      </c>
      <c r="L16" s="4">
        <v>148</v>
      </c>
      <c r="M16" s="4">
        <v>0.0004</v>
      </c>
      <c r="N16" s="7">
        <v>50.2</v>
      </c>
      <c r="O16" s="5">
        <v>359</v>
      </c>
      <c r="P16" s="5">
        <v>1.9</v>
      </c>
      <c r="Q16" s="33">
        <f t="shared" si="0"/>
        <v>7</v>
      </c>
      <c r="R16" s="4">
        <f ca="1">YEAR(NOW())-1824</f>
        <v>182</v>
      </c>
      <c r="S16" s="4">
        <v>2</v>
      </c>
    </row>
    <row r="17" spans="1:20" ht="12.75">
      <c r="A17" s="13" t="s">
        <v>15</v>
      </c>
      <c r="B17" s="5">
        <f t="shared" si="1"/>
        <v>15</v>
      </c>
      <c r="C17" s="5">
        <v>553</v>
      </c>
      <c r="D17" s="5">
        <v>317.3</v>
      </c>
      <c r="E17" s="5">
        <v>1.82</v>
      </c>
      <c r="F17" s="5">
        <v>30.97376</v>
      </c>
      <c r="G17" s="5">
        <v>5</v>
      </c>
      <c r="H17" s="5">
        <v>1.06</v>
      </c>
      <c r="I17" s="5">
        <v>1.23</v>
      </c>
      <c r="J17" s="5">
        <v>10.486</v>
      </c>
      <c r="K17" s="5">
        <v>0.769</v>
      </c>
      <c r="L17" s="4">
        <v>0.235</v>
      </c>
      <c r="M17" s="4">
        <v>1E-16</v>
      </c>
      <c r="N17" s="7">
        <v>0.63</v>
      </c>
      <c r="O17" s="5">
        <v>12.4</v>
      </c>
      <c r="P17" s="5">
        <v>2.19</v>
      </c>
      <c r="Q17" s="33">
        <f t="shared" si="0"/>
        <v>10</v>
      </c>
      <c r="R17" s="4">
        <f ca="1">YEAR(NOW())-1669</f>
        <v>337</v>
      </c>
      <c r="S17" s="4">
        <v>5</v>
      </c>
      <c r="T17" s="4">
        <v>4</v>
      </c>
    </row>
    <row r="18" spans="1:20" ht="12.75">
      <c r="A18" s="13" t="s">
        <v>16</v>
      </c>
      <c r="B18" s="5">
        <f t="shared" si="1"/>
        <v>16</v>
      </c>
      <c r="C18" s="5">
        <v>717.82</v>
      </c>
      <c r="D18" s="5">
        <v>392.2</v>
      </c>
      <c r="E18" s="5">
        <v>2.07</v>
      </c>
      <c r="F18" s="5">
        <v>32.066</v>
      </c>
      <c r="G18" s="5">
        <v>6</v>
      </c>
      <c r="H18" s="5">
        <v>1.02</v>
      </c>
      <c r="I18" s="5">
        <v>1.09</v>
      </c>
      <c r="J18" s="5">
        <v>10.36</v>
      </c>
      <c r="K18" s="5">
        <v>0.71</v>
      </c>
      <c r="L18" s="4">
        <v>0.269</v>
      </c>
      <c r="M18" s="4">
        <v>5E-16</v>
      </c>
      <c r="N18" s="7">
        <v>1.73</v>
      </c>
      <c r="O18" s="14">
        <v>10</v>
      </c>
      <c r="P18" s="5">
        <v>2.58</v>
      </c>
      <c r="Q18" s="33">
        <f t="shared" si="0"/>
        <v>6</v>
      </c>
      <c r="R18" s="4" t="s">
        <v>243</v>
      </c>
      <c r="S18" s="4">
        <v>4</v>
      </c>
      <c r="T18" s="4">
        <v>6</v>
      </c>
    </row>
    <row r="19" spans="1:21" ht="12.75">
      <c r="A19" s="8" t="s">
        <v>17</v>
      </c>
      <c r="B19" s="9">
        <f t="shared" si="1"/>
        <v>17</v>
      </c>
      <c r="C19" s="9">
        <v>239.18</v>
      </c>
      <c r="D19" s="9">
        <v>172.17</v>
      </c>
      <c r="E19" s="9">
        <v>3.214</v>
      </c>
      <c r="F19" s="9">
        <v>35.4527</v>
      </c>
      <c r="G19" s="9">
        <v>1</v>
      </c>
      <c r="H19" s="9">
        <v>0.99</v>
      </c>
      <c r="I19" s="9">
        <v>0.97</v>
      </c>
      <c r="J19" s="9">
        <v>12.967</v>
      </c>
      <c r="K19" s="9">
        <v>0.48</v>
      </c>
      <c r="L19" s="10">
        <v>0.0089</v>
      </c>
      <c r="M19" s="10"/>
      <c r="N19" s="11">
        <v>3.21</v>
      </c>
      <c r="O19" s="9">
        <v>10.2</v>
      </c>
      <c r="P19" s="9">
        <v>3.16</v>
      </c>
      <c r="Q19" s="33">
        <f t="shared" si="0"/>
        <v>8</v>
      </c>
      <c r="R19" s="10">
        <f ca="1">YEAR(NOW())-1774</f>
        <v>232</v>
      </c>
      <c r="S19" s="10">
        <v>3</v>
      </c>
      <c r="T19" s="10">
        <v>5</v>
      </c>
      <c r="U19" s="10">
        <v>7</v>
      </c>
    </row>
    <row r="20" spans="1:21" ht="12.75">
      <c r="A20" s="8" t="s">
        <v>18</v>
      </c>
      <c r="B20" s="9">
        <f t="shared" si="1"/>
        <v>18</v>
      </c>
      <c r="C20" s="9">
        <v>87.45</v>
      </c>
      <c r="D20" s="9">
        <v>83.95</v>
      </c>
      <c r="E20" s="9">
        <v>1.784</v>
      </c>
      <c r="F20" s="9">
        <v>39.948</v>
      </c>
      <c r="G20" s="9">
        <v>0</v>
      </c>
      <c r="H20" s="9">
        <v>0.98</v>
      </c>
      <c r="I20" s="9">
        <v>0.88</v>
      </c>
      <c r="J20" s="9">
        <v>15.759</v>
      </c>
      <c r="K20" s="9">
        <v>0.52</v>
      </c>
      <c r="L20" s="15">
        <v>0.0177</v>
      </c>
      <c r="M20" s="10"/>
      <c r="N20" s="11">
        <v>1.188</v>
      </c>
      <c r="O20" s="9">
        <v>6.506</v>
      </c>
      <c r="P20" s="12"/>
      <c r="Q20" s="33">
        <f t="shared" si="0"/>
        <v>5</v>
      </c>
      <c r="R20" s="10">
        <f ca="1">YEAR(NOW())-1894</f>
        <v>112</v>
      </c>
      <c r="S20" s="10"/>
      <c r="T20" s="10"/>
      <c r="U20" s="10"/>
    </row>
    <row r="21" spans="1:18" ht="12.75">
      <c r="A21" s="13" t="s">
        <v>19</v>
      </c>
      <c r="B21" s="5">
        <f t="shared" si="1"/>
        <v>19</v>
      </c>
      <c r="C21" s="5">
        <v>1033</v>
      </c>
      <c r="D21" s="5">
        <v>336.8</v>
      </c>
      <c r="E21" s="5">
        <v>0.86</v>
      </c>
      <c r="F21" s="5">
        <v>39.0983</v>
      </c>
      <c r="G21" s="5">
        <v>1</v>
      </c>
      <c r="H21" s="5">
        <v>2.03</v>
      </c>
      <c r="I21" s="5">
        <v>2.77</v>
      </c>
      <c r="J21" s="5">
        <v>4.341</v>
      </c>
      <c r="K21" s="5">
        <v>0.757</v>
      </c>
      <c r="L21" s="4">
        <v>102.5</v>
      </c>
      <c r="M21" s="4">
        <v>16.4</v>
      </c>
      <c r="N21" s="7">
        <v>2.33</v>
      </c>
      <c r="O21" s="5">
        <v>76.9</v>
      </c>
      <c r="P21" s="5">
        <v>0.82</v>
      </c>
      <c r="Q21" s="33">
        <f t="shared" si="0"/>
        <v>9</v>
      </c>
      <c r="R21" s="4">
        <f ca="1">YEAR(NOW())-1807</f>
        <v>199</v>
      </c>
    </row>
    <row r="22" spans="1:18" ht="12.75">
      <c r="A22" s="13" t="s">
        <v>20</v>
      </c>
      <c r="B22" s="5">
        <f t="shared" si="1"/>
        <v>20</v>
      </c>
      <c r="C22" s="5">
        <v>1757</v>
      </c>
      <c r="D22" s="5">
        <v>1112</v>
      </c>
      <c r="E22" s="5">
        <v>1.55</v>
      </c>
      <c r="F22" s="5">
        <v>40.078</v>
      </c>
      <c r="G22" s="5">
        <v>2</v>
      </c>
      <c r="H22" s="5">
        <v>1.74</v>
      </c>
      <c r="I22" s="5">
        <v>2.23</v>
      </c>
      <c r="J22" s="5">
        <v>6.113</v>
      </c>
      <c r="K22" s="5">
        <v>0.647</v>
      </c>
      <c r="L22" s="4">
        <v>200</v>
      </c>
      <c r="M22" s="4">
        <v>31.3</v>
      </c>
      <c r="N22" s="7">
        <v>8.53</v>
      </c>
      <c r="O22" s="5">
        <v>154.67</v>
      </c>
      <c r="P22" s="5">
        <v>1</v>
      </c>
      <c r="Q22" s="33">
        <f t="shared" si="0"/>
        <v>7</v>
      </c>
      <c r="R22" s="4">
        <f ca="1">YEAR(NOW())-1808</f>
        <v>198</v>
      </c>
    </row>
    <row r="23" spans="1:18" ht="12.75">
      <c r="A23" s="13" t="s">
        <v>21</v>
      </c>
      <c r="B23" s="5">
        <f t="shared" si="1"/>
        <v>21</v>
      </c>
      <c r="C23" s="5">
        <v>3109</v>
      </c>
      <c r="D23" s="5">
        <v>1814</v>
      </c>
      <c r="E23" s="5">
        <v>2.99</v>
      </c>
      <c r="F23" s="5">
        <v>44.9559</v>
      </c>
      <c r="G23" s="5">
        <v>3</v>
      </c>
      <c r="H23" s="5">
        <v>1.44</v>
      </c>
      <c r="I23" s="5">
        <v>2.09</v>
      </c>
      <c r="J23" s="5">
        <v>6.54</v>
      </c>
      <c r="K23" s="5">
        <v>0.568</v>
      </c>
      <c r="L23" s="4">
        <v>15.8</v>
      </c>
      <c r="M23" s="4">
        <v>1.5</v>
      </c>
      <c r="N23" s="7">
        <v>16.11</v>
      </c>
      <c r="O23" s="5">
        <v>304.8</v>
      </c>
      <c r="P23" s="5">
        <v>1.36</v>
      </c>
      <c r="Q23" s="33">
        <f t="shared" si="0"/>
        <v>8</v>
      </c>
      <c r="R23" s="4">
        <f ca="1">YEAR(NOW())-1870</f>
        <v>136</v>
      </c>
    </row>
    <row r="24" spans="1:19" ht="12.75">
      <c r="A24" s="13" t="s">
        <v>22</v>
      </c>
      <c r="B24" s="5">
        <f t="shared" si="1"/>
        <v>22</v>
      </c>
      <c r="C24" s="5">
        <v>3560</v>
      </c>
      <c r="D24" s="5">
        <v>1935</v>
      </c>
      <c r="E24" s="5">
        <v>4.54</v>
      </c>
      <c r="F24" s="5">
        <v>47.88</v>
      </c>
      <c r="G24" s="5">
        <v>4</v>
      </c>
      <c r="H24" s="5">
        <v>1.32</v>
      </c>
      <c r="I24" s="5">
        <v>2</v>
      </c>
      <c r="J24" s="5">
        <v>6.82</v>
      </c>
      <c r="K24" s="5">
        <v>0.523</v>
      </c>
      <c r="L24" s="4">
        <v>21.9</v>
      </c>
      <c r="M24" s="4">
        <v>2.6</v>
      </c>
      <c r="N24" s="7">
        <v>18.6</v>
      </c>
      <c r="O24" s="5">
        <v>425.2</v>
      </c>
      <c r="P24" s="5">
        <v>1.54</v>
      </c>
      <c r="Q24" s="33">
        <f t="shared" si="0"/>
        <v>8</v>
      </c>
      <c r="R24" s="4">
        <f ca="1">YEAR(NOW())-1791</f>
        <v>215</v>
      </c>
      <c r="S24" s="4">
        <v>3</v>
      </c>
    </row>
    <row r="25" spans="1:21" ht="12.75">
      <c r="A25" s="13" t="s">
        <v>23</v>
      </c>
      <c r="B25" s="5">
        <f t="shared" si="1"/>
        <v>23</v>
      </c>
      <c r="C25" s="5">
        <v>3650</v>
      </c>
      <c r="D25" s="5">
        <v>2163</v>
      </c>
      <c r="E25" s="5">
        <v>6.11</v>
      </c>
      <c r="F25" s="5">
        <v>50.9415</v>
      </c>
      <c r="G25" s="5">
        <v>5</v>
      </c>
      <c r="H25" s="5">
        <v>1.22</v>
      </c>
      <c r="I25" s="5">
        <v>1.92</v>
      </c>
      <c r="J25" s="5">
        <v>6.74</v>
      </c>
      <c r="K25" s="5">
        <v>0.489</v>
      </c>
      <c r="L25" s="4">
        <v>30.7</v>
      </c>
      <c r="M25" s="4">
        <v>4</v>
      </c>
      <c r="N25" s="7">
        <v>22.8</v>
      </c>
      <c r="O25" s="5">
        <v>446.7</v>
      </c>
      <c r="P25" s="5">
        <v>1.63</v>
      </c>
      <c r="Q25" s="33">
        <f t="shared" si="0"/>
        <v>8</v>
      </c>
      <c r="R25" s="4">
        <f ca="1">YEAR(NOW())-1830</f>
        <v>176</v>
      </c>
      <c r="S25" s="4">
        <v>4</v>
      </c>
      <c r="T25" s="4">
        <v>3</v>
      </c>
      <c r="U25" s="4">
        <v>2</v>
      </c>
    </row>
    <row r="26" spans="1:20" ht="12.75">
      <c r="A26" s="13" t="s">
        <v>24</v>
      </c>
      <c r="B26" s="5">
        <f t="shared" si="1"/>
        <v>24</v>
      </c>
      <c r="C26" s="5">
        <v>2945</v>
      </c>
      <c r="D26" s="5">
        <v>2130</v>
      </c>
      <c r="E26" s="5">
        <v>7.19</v>
      </c>
      <c r="F26" s="5">
        <v>51.996</v>
      </c>
      <c r="G26" s="5">
        <v>3</v>
      </c>
      <c r="H26" s="5">
        <v>1.18</v>
      </c>
      <c r="I26" s="5">
        <v>1.85</v>
      </c>
      <c r="J26" s="5">
        <v>6.766</v>
      </c>
      <c r="K26" s="5">
        <v>0.449</v>
      </c>
      <c r="L26" s="4">
        <v>93.7</v>
      </c>
      <c r="M26" s="4">
        <v>7.9</v>
      </c>
      <c r="N26" s="7">
        <v>20</v>
      </c>
      <c r="O26" s="5">
        <v>339.5</v>
      </c>
      <c r="P26" s="5">
        <v>1.66</v>
      </c>
      <c r="Q26" s="33">
        <f t="shared" si="0"/>
        <v>8</v>
      </c>
      <c r="R26" s="4">
        <f ca="1">YEAR(NOW())-1797</f>
        <v>209</v>
      </c>
      <c r="S26" s="4">
        <v>6</v>
      </c>
      <c r="T26" s="4">
        <v>2</v>
      </c>
    </row>
    <row r="27" spans="1:21" ht="12.75">
      <c r="A27" s="13" t="s">
        <v>25</v>
      </c>
      <c r="B27" s="5">
        <f t="shared" si="1"/>
        <v>25</v>
      </c>
      <c r="C27" s="5">
        <v>2235</v>
      </c>
      <c r="D27" s="5">
        <v>1518</v>
      </c>
      <c r="E27" s="5">
        <v>7.44</v>
      </c>
      <c r="F27" s="5">
        <v>54.938</v>
      </c>
      <c r="G27" s="5">
        <v>4</v>
      </c>
      <c r="H27" s="5">
        <v>1.17</v>
      </c>
      <c r="I27" s="5">
        <v>1.79</v>
      </c>
      <c r="J27" s="5">
        <v>7.435</v>
      </c>
      <c r="K27" s="5">
        <v>0.48</v>
      </c>
      <c r="L27" s="4">
        <v>7.82</v>
      </c>
      <c r="M27" s="4">
        <v>0.5</v>
      </c>
      <c r="N27" s="7">
        <v>14.64</v>
      </c>
      <c r="O27" s="5">
        <v>219.74</v>
      </c>
      <c r="P27" s="5">
        <v>1.55</v>
      </c>
      <c r="Q27" s="33">
        <f t="shared" si="0"/>
        <v>9</v>
      </c>
      <c r="R27" s="4">
        <f ca="1">YEAR(NOW())-1774</f>
        <v>232</v>
      </c>
      <c r="S27" s="4">
        <v>2</v>
      </c>
      <c r="T27" s="4">
        <v>7</v>
      </c>
      <c r="U27" s="4">
        <v>6</v>
      </c>
    </row>
    <row r="28" spans="1:19" ht="12.75">
      <c r="A28" s="13" t="s">
        <v>26</v>
      </c>
      <c r="B28" s="5">
        <f t="shared" si="1"/>
        <v>26</v>
      </c>
      <c r="C28" s="5">
        <v>3023</v>
      </c>
      <c r="D28" s="5">
        <v>1808</v>
      </c>
      <c r="E28" s="5">
        <v>7.874</v>
      </c>
      <c r="F28" s="5">
        <v>55.847</v>
      </c>
      <c r="G28" s="5">
        <v>3</v>
      </c>
      <c r="H28" s="5">
        <v>1.17</v>
      </c>
      <c r="I28" s="5">
        <v>1.72</v>
      </c>
      <c r="J28" s="5">
        <v>7.87</v>
      </c>
      <c r="K28" s="5">
        <v>0.449</v>
      </c>
      <c r="L28" s="4">
        <v>80.2</v>
      </c>
      <c r="M28" s="4">
        <v>11.2</v>
      </c>
      <c r="N28" s="7">
        <v>13.8</v>
      </c>
      <c r="O28" s="5">
        <v>349.5</v>
      </c>
      <c r="P28" s="5">
        <v>1.83</v>
      </c>
      <c r="Q28" s="33">
        <f t="shared" si="0"/>
        <v>4</v>
      </c>
      <c r="R28" s="4" t="s">
        <v>243</v>
      </c>
      <c r="S28" s="4">
        <v>3</v>
      </c>
    </row>
    <row r="29" spans="1:19" ht="12.75">
      <c r="A29" s="13" t="s">
        <v>27</v>
      </c>
      <c r="B29" s="5">
        <f t="shared" si="1"/>
        <v>27</v>
      </c>
      <c r="C29" s="5">
        <v>3143</v>
      </c>
      <c r="D29" s="5">
        <v>1768</v>
      </c>
      <c r="E29" s="5">
        <v>8.9</v>
      </c>
      <c r="F29" s="5">
        <v>58.9332</v>
      </c>
      <c r="G29" s="5">
        <v>2</v>
      </c>
      <c r="H29" s="5">
        <v>1.16</v>
      </c>
      <c r="I29" s="5">
        <v>1.67</v>
      </c>
      <c r="J29" s="5">
        <v>7.86</v>
      </c>
      <c r="K29" s="5">
        <v>0.421</v>
      </c>
      <c r="L29" s="4">
        <v>100</v>
      </c>
      <c r="M29" s="4">
        <v>17.9</v>
      </c>
      <c r="N29" s="7">
        <v>16.19</v>
      </c>
      <c r="O29" s="5">
        <v>373.3</v>
      </c>
      <c r="P29" s="5">
        <v>1.88</v>
      </c>
      <c r="Q29" s="33">
        <f t="shared" si="0"/>
        <v>6</v>
      </c>
      <c r="R29" s="4">
        <f ca="1">YEAR(NOW())-1735</f>
        <v>271</v>
      </c>
      <c r="S29" s="4">
        <v>3</v>
      </c>
    </row>
    <row r="30" spans="1:19" ht="12.75">
      <c r="A30" s="13" t="s">
        <v>28</v>
      </c>
      <c r="B30" s="5">
        <f t="shared" si="1"/>
        <v>28</v>
      </c>
      <c r="C30" s="5">
        <v>3005</v>
      </c>
      <c r="D30" s="5">
        <v>1726</v>
      </c>
      <c r="E30" s="5">
        <v>8.9</v>
      </c>
      <c r="F30" s="5">
        <v>58.6934</v>
      </c>
      <c r="G30" s="5">
        <v>2</v>
      </c>
      <c r="H30" s="5">
        <v>1.15</v>
      </c>
      <c r="I30" s="5">
        <v>1.62</v>
      </c>
      <c r="J30" s="5">
        <v>7.635</v>
      </c>
      <c r="K30" s="5">
        <v>0.444</v>
      </c>
      <c r="L30" s="4">
        <v>90.7</v>
      </c>
      <c r="M30" s="4">
        <v>14.6</v>
      </c>
      <c r="N30" s="7">
        <v>17.2</v>
      </c>
      <c r="O30" s="5">
        <v>377.5</v>
      </c>
      <c r="P30" s="5">
        <v>1.91</v>
      </c>
      <c r="Q30" s="33">
        <f t="shared" si="0"/>
        <v>6</v>
      </c>
      <c r="R30" s="4">
        <f ca="1">YEAR(NOW())-1751</f>
        <v>255</v>
      </c>
      <c r="S30" s="4">
        <v>3</v>
      </c>
    </row>
    <row r="31" spans="1:19" ht="12.75">
      <c r="A31" s="13" t="s">
        <v>29</v>
      </c>
      <c r="B31" s="5">
        <f t="shared" si="1"/>
        <v>29</v>
      </c>
      <c r="C31" s="5">
        <v>2840</v>
      </c>
      <c r="D31" s="5">
        <v>1356.6</v>
      </c>
      <c r="E31" s="5">
        <v>8.96</v>
      </c>
      <c r="F31" s="5">
        <v>63.456</v>
      </c>
      <c r="G31" s="5">
        <v>2</v>
      </c>
      <c r="H31" s="5">
        <v>1.17</v>
      </c>
      <c r="I31" s="5">
        <v>1.57</v>
      </c>
      <c r="J31" s="5">
        <v>7.726</v>
      </c>
      <c r="K31" s="5">
        <v>0.385</v>
      </c>
      <c r="L31" s="4">
        <v>401</v>
      </c>
      <c r="M31" s="4">
        <v>60.7</v>
      </c>
      <c r="N31" s="7">
        <v>13.14</v>
      </c>
      <c r="O31" s="5">
        <v>300.5</v>
      </c>
      <c r="P31" s="5">
        <v>1.9</v>
      </c>
      <c r="Q31" s="33">
        <f t="shared" si="0"/>
        <v>6</v>
      </c>
      <c r="R31" s="4" t="s">
        <v>243</v>
      </c>
      <c r="S31" s="4">
        <v>1</v>
      </c>
    </row>
    <row r="32" spans="1:18" ht="12.75">
      <c r="A32" s="13" t="s">
        <v>30</v>
      </c>
      <c r="B32" s="5">
        <f t="shared" si="1"/>
        <v>30</v>
      </c>
      <c r="C32" s="5">
        <v>1180</v>
      </c>
      <c r="D32" s="5">
        <v>692.73</v>
      </c>
      <c r="E32" s="5">
        <v>7.13</v>
      </c>
      <c r="F32" s="5">
        <v>65.39</v>
      </c>
      <c r="G32" s="5">
        <v>2</v>
      </c>
      <c r="H32" s="5">
        <v>1.25</v>
      </c>
      <c r="I32" s="5">
        <v>1.53</v>
      </c>
      <c r="J32" s="5">
        <v>9.394</v>
      </c>
      <c r="K32" s="5">
        <v>0.388</v>
      </c>
      <c r="L32" s="4">
        <v>116</v>
      </c>
      <c r="M32" s="4">
        <v>16.9</v>
      </c>
      <c r="N32" s="7">
        <v>7.38</v>
      </c>
      <c r="O32" s="5">
        <v>115.3</v>
      </c>
      <c r="P32" s="5">
        <v>1.65</v>
      </c>
      <c r="Q32" s="33">
        <f t="shared" si="0"/>
        <v>4</v>
      </c>
      <c r="R32" s="4">
        <f ca="1">YEAR(NOW())-1250</f>
        <v>756</v>
      </c>
    </row>
    <row r="33" spans="1:18" ht="12.75">
      <c r="A33" s="13" t="s">
        <v>31</v>
      </c>
      <c r="B33" s="5">
        <f t="shared" si="1"/>
        <v>31</v>
      </c>
      <c r="C33" s="5">
        <v>2478</v>
      </c>
      <c r="D33" s="5">
        <v>302.92</v>
      </c>
      <c r="E33" s="5">
        <v>5.91</v>
      </c>
      <c r="F33" s="5">
        <v>69.723</v>
      </c>
      <c r="G33" s="5">
        <v>3</v>
      </c>
      <c r="H33" s="5">
        <v>1.26</v>
      </c>
      <c r="I33" s="5">
        <v>1.81</v>
      </c>
      <c r="J33" s="5">
        <v>5.999</v>
      </c>
      <c r="K33" s="5">
        <v>0.371</v>
      </c>
      <c r="L33" s="4">
        <v>40.6</v>
      </c>
      <c r="M33" s="4">
        <v>1.8</v>
      </c>
      <c r="N33" s="7">
        <v>5.59</v>
      </c>
      <c r="O33" s="5">
        <v>256.06</v>
      </c>
      <c r="P33" s="5">
        <v>1.81</v>
      </c>
      <c r="Q33" s="33">
        <f t="shared" si="0"/>
        <v>7</v>
      </c>
      <c r="R33" s="4">
        <f ca="1">YEAR(NOW())-1875</f>
        <v>131</v>
      </c>
    </row>
    <row r="34" spans="1:18" ht="12.75">
      <c r="A34" s="13" t="s">
        <v>32</v>
      </c>
      <c r="B34" s="5">
        <f t="shared" si="1"/>
        <v>32</v>
      </c>
      <c r="C34" s="5">
        <v>3107</v>
      </c>
      <c r="D34" s="5">
        <v>1211.5</v>
      </c>
      <c r="E34" s="5">
        <v>5.32</v>
      </c>
      <c r="F34" s="5">
        <v>72.61</v>
      </c>
      <c r="G34" s="5">
        <v>4</v>
      </c>
      <c r="H34" s="5">
        <v>1.22</v>
      </c>
      <c r="I34" s="5">
        <v>1.52</v>
      </c>
      <c r="J34" s="5">
        <v>7.899</v>
      </c>
      <c r="K34" s="5">
        <v>0.32</v>
      </c>
      <c r="L34" s="4">
        <v>59.9</v>
      </c>
      <c r="M34" s="4">
        <v>3E-06</v>
      </c>
      <c r="N34" s="7">
        <v>31.8</v>
      </c>
      <c r="O34" s="5">
        <v>334.3</v>
      </c>
      <c r="P34" s="5">
        <v>2.01</v>
      </c>
      <c r="Q34" s="33">
        <f t="shared" si="0"/>
        <v>9</v>
      </c>
      <c r="R34" s="4">
        <f ca="1">YEAR(NOW())-1886</f>
        <v>120</v>
      </c>
    </row>
    <row r="35" spans="1:19" ht="12.75">
      <c r="A35" s="13" t="s">
        <v>33</v>
      </c>
      <c r="B35" s="5">
        <f t="shared" si="1"/>
        <v>33</v>
      </c>
      <c r="C35" s="9">
        <v>876</v>
      </c>
      <c r="D35" s="9">
        <v>1090</v>
      </c>
      <c r="E35" s="5">
        <v>5.78</v>
      </c>
      <c r="F35" s="5">
        <v>74.9216</v>
      </c>
      <c r="G35" s="5">
        <v>3</v>
      </c>
      <c r="H35" s="5">
        <v>1.2</v>
      </c>
      <c r="I35" s="5">
        <v>1.33</v>
      </c>
      <c r="J35" s="5">
        <v>9.81</v>
      </c>
      <c r="K35" s="5">
        <v>0.33</v>
      </c>
      <c r="L35" s="4">
        <v>50</v>
      </c>
      <c r="M35" s="4">
        <v>3.8</v>
      </c>
      <c r="N35" s="7">
        <v>27.7</v>
      </c>
      <c r="O35" s="5">
        <v>32.4</v>
      </c>
      <c r="P35" s="5">
        <v>2.16</v>
      </c>
      <c r="Q35" s="33">
        <f t="shared" si="0"/>
        <v>7</v>
      </c>
      <c r="R35" s="4">
        <f ca="1">YEAR(NOW())-1250</f>
        <v>756</v>
      </c>
      <c r="S35" s="4">
        <v>5</v>
      </c>
    </row>
    <row r="36" spans="1:20" ht="12.75">
      <c r="A36" s="13" t="s">
        <v>34</v>
      </c>
      <c r="B36" s="5">
        <f t="shared" si="1"/>
        <v>34</v>
      </c>
      <c r="C36" s="5">
        <v>958</v>
      </c>
      <c r="D36" s="5">
        <v>494</v>
      </c>
      <c r="E36" s="5">
        <v>4.79</v>
      </c>
      <c r="F36" s="5">
        <v>78.96</v>
      </c>
      <c r="G36" s="5">
        <v>4</v>
      </c>
      <c r="H36" s="5">
        <v>1.16</v>
      </c>
      <c r="I36" s="5">
        <v>1.22</v>
      </c>
      <c r="J36" s="5">
        <v>9.752</v>
      </c>
      <c r="K36" s="5">
        <v>0.32</v>
      </c>
      <c r="L36" s="4">
        <v>2.04</v>
      </c>
      <c r="M36" s="4">
        <v>8</v>
      </c>
      <c r="N36" s="7">
        <v>5.54</v>
      </c>
      <c r="O36" s="5">
        <v>26.32</v>
      </c>
      <c r="P36" s="5">
        <v>2.55</v>
      </c>
      <c r="Q36" s="33">
        <f t="shared" si="0"/>
        <v>8</v>
      </c>
      <c r="R36" s="4">
        <f ca="1">YEAR(NOW())-1817</f>
        <v>189</v>
      </c>
      <c r="S36" s="4">
        <v>-2</v>
      </c>
      <c r="T36" s="4">
        <v>6</v>
      </c>
    </row>
    <row r="37" spans="1:21" ht="12.75">
      <c r="A37" s="16" t="s">
        <v>35</v>
      </c>
      <c r="B37" s="17">
        <f t="shared" si="1"/>
        <v>35</v>
      </c>
      <c r="C37" s="17">
        <v>331.85</v>
      </c>
      <c r="D37" s="17">
        <v>265.95</v>
      </c>
      <c r="E37" s="17">
        <v>3.12</v>
      </c>
      <c r="F37" s="17">
        <v>79.904</v>
      </c>
      <c r="G37" s="17">
        <v>1</v>
      </c>
      <c r="H37" s="17">
        <v>1.14</v>
      </c>
      <c r="I37" s="17">
        <v>1.12</v>
      </c>
      <c r="J37" s="17">
        <v>11.814</v>
      </c>
      <c r="K37" s="17">
        <v>0.226</v>
      </c>
      <c r="L37" s="17">
        <v>0.122</v>
      </c>
      <c r="M37" s="17">
        <v>1E-16</v>
      </c>
      <c r="N37" s="17">
        <v>5.286</v>
      </c>
      <c r="O37" s="17">
        <v>14.725</v>
      </c>
      <c r="P37" s="17">
        <v>2.96</v>
      </c>
      <c r="Q37" s="33">
        <f t="shared" si="0"/>
        <v>7</v>
      </c>
      <c r="R37" s="17">
        <f ca="1">YEAR(NOW())-1826</f>
        <v>180</v>
      </c>
      <c r="S37" s="17">
        <v>5</v>
      </c>
      <c r="T37" s="17">
        <v>7</v>
      </c>
      <c r="U37" s="17"/>
    </row>
    <row r="38" spans="1:21" ht="12.75">
      <c r="A38" s="8" t="s">
        <v>36</v>
      </c>
      <c r="B38" s="9">
        <f t="shared" si="1"/>
        <v>36</v>
      </c>
      <c r="C38" s="9">
        <v>120.85</v>
      </c>
      <c r="D38" s="9">
        <v>116</v>
      </c>
      <c r="E38" s="9">
        <v>3.75</v>
      </c>
      <c r="F38" s="9">
        <v>83.8</v>
      </c>
      <c r="G38" s="9">
        <v>0</v>
      </c>
      <c r="H38" s="9">
        <v>1.89</v>
      </c>
      <c r="I38" s="9">
        <v>1.03</v>
      </c>
      <c r="J38" s="9">
        <v>13.999</v>
      </c>
      <c r="K38" s="9">
        <v>0.248</v>
      </c>
      <c r="L38" s="10">
        <v>0.00949</v>
      </c>
      <c r="M38" s="10"/>
      <c r="N38" s="11">
        <v>1.638</v>
      </c>
      <c r="O38" s="9">
        <v>9.029</v>
      </c>
      <c r="P38" s="12"/>
      <c r="Q38" s="33">
        <f t="shared" si="0"/>
        <v>7</v>
      </c>
      <c r="R38" s="10">
        <f ca="1">YEAR(NOW())-1898</f>
        <v>108</v>
      </c>
      <c r="S38" s="10">
        <v>2</v>
      </c>
      <c r="T38" s="10"/>
      <c r="U38" s="10"/>
    </row>
    <row r="39" spans="1:18" ht="12.75">
      <c r="A39" s="13" t="s">
        <v>37</v>
      </c>
      <c r="B39" s="5">
        <f t="shared" si="1"/>
        <v>37</v>
      </c>
      <c r="C39" s="5">
        <v>961</v>
      </c>
      <c r="D39" s="5">
        <v>312.63</v>
      </c>
      <c r="E39" s="5">
        <v>1.532</v>
      </c>
      <c r="F39" s="5">
        <v>85.4678</v>
      </c>
      <c r="G39" s="5">
        <v>1</v>
      </c>
      <c r="H39" s="5">
        <v>2.16</v>
      </c>
      <c r="I39" s="5">
        <v>2.98</v>
      </c>
      <c r="J39" s="5">
        <v>4.177</v>
      </c>
      <c r="K39" s="5">
        <v>0.363</v>
      </c>
      <c r="L39" s="4">
        <v>58.2</v>
      </c>
      <c r="M39" s="4">
        <v>47.8</v>
      </c>
      <c r="N39" s="7">
        <v>2.34</v>
      </c>
      <c r="O39" s="5">
        <v>69.2</v>
      </c>
      <c r="P39" s="5">
        <v>0.82</v>
      </c>
      <c r="Q39" s="33">
        <f t="shared" si="0"/>
        <v>8</v>
      </c>
      <c r="R39" s="4">
        <f ca="1">YEAR(NOW())-1861</f>
        <v>145</v>
      </c>
    </row>
    <row r="40" spans="1:18" ht="12.75">
      <c r="A40" s="13" t="s">
        <v>38</v>
      </c>
      <c r="B40" s="5">
        <f t="shared" si="1"/>
        <v>38</v>
      </c>
      <c r="C40" s="5">
        <v>1655</v>
      </c>
      <c r="D40" s="5">
        <v>1042</v>
      </c>
      <c r="E40" s="5">
        <v>2.54</v>
      </c>
      <c r="F40" s="5">
        <v>87.62</v>
      </c>
      <c r="G40" s="5">
        <v>2</v>
      </c>
      <c r="H40" s="5">
        <v>1.91</v>
      </c>
      <c r="I40" s="5">
        <v>2.45</v>
      </c>
      <c r="J40" s="5">
        <v>5.695</v>
      </c>
      <c r="K40" s="5">
        <v>0.3</v>
      </c>
      <c r="L40" s="4">
        <v>3.53</v>
      </c>
      <c r="M40" s="4">
        <v>5</v>
      </c>
      <c r="N40" s="7">
        <v>8.2</v>
      </c>
      <c r="O40" s="5">
        <v>136.9</v>
      </c>
      <c r="P40" s="5">
        <v>0.95</v>
      </c>
      <c r="Q40" s="33">
        <f t="shared" si="0"/>
        <v>9</v>
      </c>
      <c r="R40" s="4">
        <f ca="1">YEAR(NOW())-1790</f>
        <v>216</v>
      </c>
    </row>
    <row r="41" spans="1:18" ht="12.75">
      <c r="A41" s="13" t="s">
        <v>39</v>
      </c>
      <c r="B41" s="5">
        <f t="shared" si="1"/>
        <v>39</v>
      </c>
      <c r="C41" s="5">
        <v>3611</v>
      </c>
      <c r="D41" s="5">
        <v>1795</v>
      </c>
      <c r="E41" s="5">
        <v>4.47</v>
      </c>
      <c r="F41" s="5">
        <v>88.9059</v>
      </c>
      <c r="G41" s="5">
        <v>3</v>
      </c>
      <c r="H41" s="5">
        <v>1.62</v>
      </c>
      <c r="I41" s="5">
        <v>2.27</v>
      </c>
      <c r="J41" s="5">
        <v>6.38</v>
      </c>
      <c r="K41" s="5">
        <v>0.3</v>
      </c>
      <c r="L41" s="4">
        <v>17.2</v>
      </c>
      <c r="M41" s="4">
        <v>1.8</v>
      </c>
      <c r="N41" s="7">
        <v>17.15</v>
      </c>
      <c r="O41" s="5">
        <v>393.3</v>
      </c>
      <c r="P41" s="5">
        <v>1.22</v>
      </c>
      <c r="Q41" s="33">
        <f t="shared" si="0"/>
        <v>7</v>
      </c>
      <c r="R41" s="4">
        <f ca="1">YEAR(NOW())-1828</f>
        <v>178</v>
      </c>
    </row>
    <row r="42" spans="1:18" ht="12.75">
      <c r="A42" s="13" t="s">
        <v>40</v>
      </c>
      <c r="B42" s="5">
        <f t="shared" si="1"/>
        <v>40</v>
      </c>
      <c r="C42" s="5">
        <v>4682</v>
      </c>
      <c r="D42" s="5">
        <v>2128</v>
      </c>
      <c r="E42" s="5">
        <v>6.51</v>
      </c>
      <c r="F42" s="5">
        <v>91.224</v>
      </c>
      <c r="G42" s="5">
        <v>4</v>
      </c>
      <c r="H42" s="5">
        <v>1.45</v>
      </c>
      <c r="I42" s="5">
        <v>2.16</v>
      </c>
      <c r="J42" s="5">
        <v>6.34</v>
      </c>
      <c r="K42" s="5">
        <v>0.278</v>
      </c>
      <c r="L42" s="4">
        <v>22.7</v>
      </c>
      <c r="M42" s="4">
        <v>2.3</v>
      </c>
      <c r="N42" s="7">
        <v>21</v>
      </c>
      <c r="O42" s="5">
        <v>590.5</v>
      </c>
      <c r="P42" s="5">
        <v>1.33</v>
      </c>
      <c r="Q42" s="33">
        <f t="shared" si="0"/>
        <v>9</v>
      </c>
      <c r="R42" s="4">
        <f ca="1">YEAR(NOW())-1789</f>
        <v>217</v>
      </c>
    </row>
    <row r="43" spans="1:19" ht="12.75">
      <c r="A43" s="13" t="s">
        <v>41</v>
      </c>
      <c r="B43" s="5">
        <f t="shared" si="1"/>
        <v>41</v>
      </c>
      <c r="C43" s="5">
        <v>5015</v>
      </c>
      <c r="D43" s="5">
        <v>2742</v>
      </c>
      <c r="E43" s="5">
        <v>8.57</v>
      </c>
      <c r="F43" s="5">
        <v>92.9064</v>
      </c>
      <c r="G43" s="5">
        <v>5</v>
      </c>
      <c r="H43" s="5">
        <v>1.34</v>
      </c>
      <c r="I43" s="5">
        <v>2.08</v>
      </c>
      <c r="J43" s="5">
        <v>6.88</v>
      </c>
      <c r="K43" s="5">
        <v>0.265</v>
      </c>
      <c r="L43" s="4">
        <v>53.7</v>
      </c>
      <c r="M43" s="4">
        <v>6.6</v>
      </c>
      <c r="N43" s="7">
        <v>26.9</v>
      </c>
      <c r="O43" s="5">
        <v>690.1</v>
      </c>
      <c r="P43" s="5">
        <v>1.6</v>
      </c>
      <c r="Q43" s="33">
        <f t="shared" si="0"/>
        <v>7</v>
      </c>
      <c r="R43" s="4">
        <f ca="1">YEAR(NOW())-1864</f>
        <v>142</v>
      </c>
      <c r="S43" s="4">
        <v>3</v>
      </c>
    </row>
    <row r="44" spans="1:21" ht="12.75">
      <c r="A44" s="13" t="s">
        <v>42</v>
      </c>
      <c r="B44" s="5">
        <f t="shared" si="1"/>
        <v>42</v>
      </c>
      <c r="C44" s="5">
        <v>4912</v>
      </c>
      <c r="D44" s="5">
        <v>2896</v>
      </c>
      <c r="E44" s="5">
        <v>10.22</v>
      </c>
      <c r="F44" s="5">
        <v>95.94</v>
      </c>
      <c r="G44" s="5">
        <v>6</v>
      </c>
      <c r="H44" s="5">
        <v>1.3</v>
      </c>
      <c r="I44" s="5">
        <v>2.01</v>
      </c>
      <c r="J44" s="5">
        <v>7.099</v>
      </c>
      <c r="K44" s="5">
        <v>0.25</v>
      </c>
      <c r="L44" s="4">
        <v>138</v>
      </c>
      <c r="M44" s="4">
        <v>17.3</v>
      </c>
      <c r="N44" s="7">
        <v>36</v>
      </c>
      <c r="O44" s="5">
        <v>590.4</v>
      </c>
      <c r="P44" s="5">
        <v>2.16</v>
      </c>
      <c r="Q44" s="33">
        <f t="shared" si="0"/>
        <v>10</v>
      </c>
      <c r="R44" s="4">
        <f ca="1">YEAR(NOW())-1782</f>
        <v>224</v>
      </c>
      <c r="S44" s="4">
        <v>5</v>
      </c>
      <c r="T44" s="4">
        <v>4</v>
      </c>
      <c r="U44" s="4">
        <v>3</v>
      </c>
    </row>
    <row r="45" spans="1:18" ht="12.75">
      <c r="A45" s="13" t="s">
        <v>43</v>
      </c>
      <c r="B45" s="5">
        <f t="shared" si="1"/>
        <v>43</v>
      </c>
      <c r="C45" s="5">
        <v>4538</v>
      </c>
      <c r="D45" s="5">
        <v>2477</v>
      </c>
      <c r="E45" s="5">
        <v>11.5</v>
      </c>
      <c r="F45" s="5">
        <v>98</v>
      </c>
      <c r="G45" s="5">
        <v>7</v>
      </c>
      <c r="H45" s="5">
        <v>1.27</v>
      </c>
      <c r="I45" s="5">
        <v>1.95</v>
      </c>
      <c r="J45" s="5">
        <v>7.28</v>
      </c>
      <c r="K45" s="5">
        <v>0.24</v>
      </c>
      <c r="L45" s="4">
        <v>50.6</v>
      </c>
      <c r="M45" s="4">
        <v>0.001</v>
      </c>
      <c r="N45" s="7">
        <v>23</v>
      </c>
      <c r="O45" s="5">
        <v>502</v>
      </c>
      <c r="P45" s="5">
        <v>1.9</v>
      </c>
      <c r="Q45" s="33">
        <f t="shared" si="0"/>
        <v>10</v>
      </c>
      <c r="R45" s="4">
        <f ca="1">YEAR(NOW())-1937</f>
        <v>69</v>
      </c>
    </row>
    <row r="46" spans="1:21" ht="12.75">
      <c r="A46" s="13" t="s">
        <v>44</v>
      </c>
      <c r="B46" s="5">
        <f t="shared" si="1"/>
        <v>44</v>
      </c>
      <c r="C46" s="5">
        <v>4425</v>
      </c>
      <c r="D46" s="5">
        <v>2610</v>
      </c>
      <c r="E46" s="5">
        <v>12.37</v>
      </c>
      <c r="F46" s="5">
        <v>101.07</v>
      </c>
      <c r="G46" s="5">
        <v>3</v>
      </c>
      <c r="H46" s="5">
        <v>1.25</v>
      </c>
      <c r="I46" s="5">
        <v>1.89</v>
      </c>
      <c r="J46" s="5">
        <v>7.37</v>
      </c>
      <c r="K46" s="5">
        <v>0.238</v>
      </c>
      <c r="L46" s="4">
        <v>117</v>
      </c>
      <c r="M46" s="4">
        <v>14.9</v>
      </c>
      <c r="N46" s="7">
        <v>25.52</v>
      </c>
      <c r="O46" s="5">
        <v>567.77</v>
      </c>
      <c r="P46" s="5">
        <v>2.2</v>
      </c>
      <c r="Q46" s="33">
        <f t="shared" si="0"/>
        <v>9</v>
      </c>
      <c r="R46" s="4">
        <f ca="1">YEAR(NOW())-1844</f>
        <v>162</v>
      </c>
      <c r="S46" s="4">
        <v>4</v>
      </c>
      <c r="T46" s="4">
        <v>2</v>
      </c>
      <c r="U46" s="4">
        <v>6</v>
      </c>
    </row>
    <row r="47" spans="1:20" ht="12.75">
      <c r="A47" s="13" t="s">
        <v>45</v>
      </c>
      <c r="B47" s="5">
        <f t="shared" si="1"/>
        <v>45</v>
      </c>
      <c r="C47" s="5">
        <v>3970</v>
      </c>
      <c r="D47" s="5">
        <v>2236</v>
      </c>
      <c r="E47" s="5">
        <v>12.41</v>
      </c>
      <c r="F47" s="5">
        <v>102.9055</v>
      </c>
      <c r="G47" s="5">
        <v>3</v>
      </c>
      <c r="H47" s="5">
        <v>1.25</v>
      </c>
      <c r="I47" s="5">
        <v>1.83</v>
      </c>
      <c r="J47" s="5">
        <v>7.46</v>
      </c>
      <c r="K47" s="5">
        <v>0.242</v>
      </c>
      <c r="L47" s="4">
        <v>150</v>
      </c>
      <c r="M47" s="4">
        <v>23</v>
      </c>
      <c r="N47" s="7">
        <v>21.76</v>
      </c>
      <c r="O47" s="5">
        <v>495.39</v>
      </c>
      <c r="P47" s="5">
        <v>2.28</v>
      </c>
      <c r="Q47" s="33">
        <f t="shared" si="0"/>
        <v>7</v>
      </c>
      <c r="R47" s="4">
        <f ca="1">YEAR(NOW())-1803</f>
        <v>203</v>
      </c>
      <c r="S47" s="4">
        <v>2</v>
      </c>
      <c r="T47" s="4">
        <v>4</v>
      </c>
    </row>
    <row r="48" spans="1:19" ht="12.75">
      <c r="A48" s="13" t="s">
        <v>46</v>
      </c>
      <c r="B48" s="5">
        <f t="shared" si="1"/>
        <v>46</v>
      </c>
      <c r="C48" s="5">
        <v>3240</v>
      </c>
      <c r="D48" s="5">
        <v>1825</v>
      </c>
      <c r="E48" s="5">
        <v>12</v>
      </c>
      <c r="F48" s="5">
        <v>106.42</v>
      </c>
      <c r="G48" s="5">
        <v>2</v>
      </c>
      <c r="H48" s="5">
        <v>1.28</v>
      </c>
      <c r="I48" s="5">
        <v>1.79</v>
      </c>
      <c r="J48" s="5">
        <v>8.34</v>
      </c>
      <c r="K48" s="5">
        <v>0.244</v>
      </c>
      <c r="L48" s="4">
        <v>71.8</v>
      </c>
      <c r="M48" s="4">
        <v>10</v>
      </c>
      <c r="N48" s="7">
        <v>16.74</v>
      </c>
      <c r="O48" s="5">
        <v>393.3</v>
      </c>
      <c r="P48" s="5">
        <v>2.2</v>
      </c>
      <c r="Q48" s="33">
        <f t="shared" si="0"/>
        <v>9</v>
      </c>
      <c r="R48" s="4">
        <f ca="1">YEAR(NOW())-1803</f>
        <v>203</v>
      </c>
      <c r="S48" s="4">
        <v>4</v>
      </c>
    </row>
    <row r="49" spans="1:18" ht="12.75">
      <c r="A49" s="13" t="s">
        <v>47</v>
      </c>
      <c r="B49" s="5">
        <f t="shared" si="1"/>
        <v>47</v>
      </c>
      <c r="C49" s="5">
        <v>2436</v>
      </c>
      <c r="D49" s="5">
        <v>1235.08</v>
      </c>
      <c r="E49" s="5">
        <v>10.5</v>
      </c>
      <c r="F49" s="5">
        <v>107.868</v>
      </c>
      <c r="G49" s="5">
        <v>1</v>
      </c>
      <c r="H49" s="5">
        <v>1.34</v>
      </c>
      <c r="I49" s="5">
        <v>1.75</v>
      </c>
      <c r="J49" s="5">
        <v>7.576</v>
      </c>
      <c r="K49" s="5">
        <v>0.235</v>
      </c>
      <c r="L49" s="4">
        <v>429</v>
      </c>
      <c r="M49" s="4">
        <v>62.9</v>
      </c>
      <c r="N49" s="7">
        <v>11.3</v>
      </c>
      <c r="O49" s="5">
        <v>250.63</v>
      </c>
      <c r="P49" s="5">
        <v>1.93</v>
      </c>
      <c r="Q49" s="33">
        <f t="shared" si="0"/>
        <v>6</v>
      </c>
      <c r="R49" s="4" t="s">
        <v>243</v>
      </c>
    </row>
    <row r="50" spans="1:18" ht="12.75">
      <c r="A50" s="13" t="s">
        <v>48</v>
      </c>
      <c r="B50" s="5">
        <f t="shared" si="1"/>
        <v>48</v>
      </c>
      <c r="C50" s="5">
        <v>1040</v>
      </c>
      <c r="D50" s="5">
        <v>594.26</v>
      </c>
      <c r="E50" s="5">
        <v>8.65</v>
      </c>
      <c r="F50" s="5">
        <v>112.41</v>
      </c>
      <c r="G50" s="5">
        <v>2</v>
      </c>
      <c r="H50" s="5">
        <v>1.41</v>
      </c>
      <c r="I50" s="5">
        <v>1.71</v>
      </c>
      <c r="J50" s="5">
        <v>8.993</v>
      </c>
      <c r="K50" s="5">
        <v>0.232</v>
      </c>
      <c r="L50" s="4">
        <v>96.8</v>
      </c>
      <c r="M50" s="4">
        <v>14.7</v>
      </c>
      <c r="N50" s="7">
        <v>6.07</v>
      </c>
      <c r="O50" s="5">
        <v>99.87</v>
      </c>
      <c r="P50" s="5">
        <v>1.69</v>
      </c>
      <c r="Q50" s="33">
        <f t="shared" si="0"/>
        <v>7</v>
      </c>
      <c r="R50" s="4">
        <f ca="1">YEAR(NOW())-1817</f>
        <v>189</v>
      </c>
    </row>
    <row r="51" spans="1:18" ht="12.75">
      <c r="A51" s="13" t="s">
        <v>49</v>
      </c>
      <c r="B51" s="5">
        <f t="shared" si="1"/>
        <v>49</v>
      </c>
      <c r="C51" s="5">
        <v>2350</v>
      </c>
      <c r="D51" s="5">
        <v>429.78</v>
      </c>
      <c r="E51" s="5">
        <v>7.31</v>
      </c>
      <c r="F51" s="5">
        <v>114.82</v>
      </c>
      <c r="G51" s="5">
        <v>3</v>
      </c>
      <c r="H51" s="5">
        <v>1.44</v>
      </c>
      <c r="I51" s="5">
        <v>2</v>
      </c>
      <c r="J51" s="5">
        <v>5.786</v>
      </c>
      <c r="K51" s="5">
        <v>0.233</v>
      </c>
      <c r="L51" s="4">
        <v>81.6</v>
      </c>
      <c r="M51" s="4">
        <v>3.4</v>
      </c>
      <c r="N51" s="7">
        <v>3.26</v>
      </c>
      <c r="O51" s="5">
        <v>226.335</v>
      </c>
      <c r="P51" s="5">
        <v>1.78</v>
      </c>
      <c r="Q51" s="33">
        <f t="shared" si="0"/>
        <v>6</v>
      </c>
      <c r="R51" s="4">
        <f ca="1">YEAR(NOW())-1924</f>
        <v>82</v>
      </c>
    </row>
    <row r="52" spans="1:19" ht="12.75">
      <c r="A52" s="13" t="s">
        <v>50</v>
      </c>
      <c r="B52" s="5">
        <f t="shared" si="1"/>
        <v>50</v>
      </c>
      <c r="C52" s="5">
        <v>2876</v>
      </c>
      <c r="D52" s="5">
        <v>505.12</v>
      </c>
      <c r="E52" s="5">
        <v>7.31</v>
      </c>
      <c r="F52" s="5">
        <v>118.71</v>
      </c>
      <c r="G52" s="5">
        <v>4</v>
      </c>
      <c r="H52" s="5">
        <v>1.41</v>
      </c>
      <c r="I52" s="5">
        <v>1.72</v>
      </c>
      <c r="J52" s="5">
        <v>7.344</v>
      </c>
      <c r="K52" s="5">
        <v>0.228</v>
      </c>
      <c r="L52" s="4">
        <v>66.6</v>
      </c>
      <c r="M52" s="4">
        <v>8.7</v>
      </c>
      <c r="N52" s="7">
        <v>7.2</v>
      </c>
      <c r="O52" s="5">
        <v>290.37</v>
      </c>
      <c r="P52" s="5">
        <v>1.96</v>
      </c>
      <c r="Q52" s="33">
        <f t="shared" si="0"/>
        <v>3</v>
      </c>
      <c r="R52" s="4" t="s">
        <v>243</v>
      </c>
      <c r="S52" s="4">
        <v>2</v>
      </c>
    </row>
    <row r="53" spans="1:19" ht="12.75">
      <c r="A53" s="13" t="s">
        <v>51</v>
      </c>
      <c r="B53" s="5">
        <f t="shared" si="1"/>
        <v>51</v>
      </c>
      <c r="C53" s="5">
        <v>1860</v>
      </c>
      <c r="D53" s="5">
        <v>903.91</v>
      </c>
      <c r="E53" s="5">
        <v>6.69</v>
      </c>
      <c r="F53" s="5">
        <v>121.757</v>
      </c>
      <c r="G53" s="5">
        <v>3</v>
      </c>
      <c r="H53" s="5">
        <v>1.4</v>
      </c>
      <c r="I53" s="5">
        <v>1.53</v>
      </c>
      <c r="J53" s="5">
        <v>8.641</v>
      </c>
      <c r="K53" s="5">
        <v>0.207</v>
      </c>
      <c r="L53" s="4">
        <v>24.3</v>
      </c>
      <c r="M53" s="4">
        <v>2.6</v>
      </c>
      <c r="N53" s="7">
        <v>19.83</v>
      </c>
      <c r="O53" s="5">
        <v>67.97</v>
      </c>
      <c r="P53" s="5">
        <v>2.05</v>
      </c>
      <c r="Q53" s="33">
        <f t="shared" si="0"/>
        <v>8</v>
      </c>
      <c r="R53" s="4">
        <f ca="1">YEAR(NOW())-1600</f>
        <v>406</v>
      </c>
      <c r="S53" s="4">
        <v>5</v>
      </c>
    </row>
    <row r="54" spans="1:20" ht="12.75">
      <c r="A54" s="13" t="s">
        <v>52</v>
      </c>
      <c r="B54" s="5">
        <f t="shared" si="1"/>
        <v>52</v>
      </c>
      <c r="C54" s="5">
        <v>1261</v>
      </c>
      <c r="D54" s="5">
        <v>722.72</v>
      </c>
      <c r="E54" s="5">
        <v>6.24</v>
      </c>
      <c r="F54" s="5">
        <v>127.6</v>
      </c>
      <c r="G54" s="5">
        <v>4</v>
      </c>
      <c r="H54" s="5">
        <v>1.36</v>
      </c>
      <c r="I54" s="5">
        <v>1.42</v>
      </c>
      <c r="J54" s="5">
        <v>9.009</v>
      </c>
      <c r="K54" s="5">
        <v>0.202</v>
      </c>
      <c r="L54" s="4">
        <v>2.35</v>
      </c>
      <c r="M54" s="4">
        <v>0.0002</v>
      </c>
      <c r="N54" s="7">
        <v>17.49</v>
      </c>
      <c r="O54" s="5">
        <v>50.63</v>
      </c>
      <c r="P54" s="5">
        <v>2.1</v>
      </c>
      <c r="Q54" s="33">
        <f t="shared" si="0"/>
        <v>9</v>
      </c>
      <c r="R54" s="4">
        <f ca="1">YEAR(NOW())-1782</f>
        <v>224</v>
      </c>
      <c r="S54" s="4">
        <v>-2</v>
      </c>
      <c r="T54" s="4">
        <v>6</v>
      </c>
    </row>
    <row r="55" spans="1:20" ht="12.75">
      <c r="A55" s="13" t="s">
        <v>53</v>
      </c>
      <c r="B55" s="5">
        <f t="shared" si="1"/>
        <v>53</v>
      </c>
      <c r="C55" s="5">
        <v>457.5</v>
      </c>
      <c r="D55" s="5">
        <v>386.7</v>
      </c>
      <c r="E55" s="5">
        <v>4.93</v>
      </c>
      <c r="F55" s="5">
        <v>126.9045</v>
      </c>
      <c r="G55" s="5">
        <v>1</v>
      </c>
      <c r="H55" s="5">
        <v>1.33</v>
      </c>
      <c r="I55" s="5">
        <v>1.32</v>
      </c>
      <c r="J55" s="5">
        <v>10.451</v>
      </c>
      <c r="K55" s="5">
        <v>0.145</v>
      </c>
      <c r="L55" s="4">
        <v>0.449</v>
      </c>
      <c r="M55" s="4">
        <v>1E-11</v>
      </c>
      <c r="N55" s="7">
        <v>7.76</v>
      </c>
      <c r="O55" s="5">
        <v>20.9</v>
      </c>
      <c r="P55" s="5">
        <v>2.66</v>
      </c>
      <c r="Q55" s="33">
        <f t="shared" si="0"/>
        <v>6</v>
      </c>
      <c r="R55" s="4">
        <f ca="1">YEAR(NOW())-1811</f>
        <v>195</v>
      </c>
      <c r="S55" s="4">
        <v>5</v>
      </c>
      <c r="T55" s="4">
        <v>7</v>
      </c>
    </row>
    <row r="56" spans="1:21" ht="12.75">
      <c r="A56" s="8" t="s">
        <v>54</v>
      </c>
      <c r="B56" s="9">
        <f t="shared" si="1"/>
        <v>54</v>
      </c>
      <c r="C56" s="9">
        <v>165.1</v>
      </c>
      <c r="D56" s="9">
        <v>161.39</v>
      </c>
      <c r="E56" s="18">
        <v>5.9</v>
      </c>
      <c r="F56" s="9">
        <v>131.29</v>
      </c>
      <c r="G56" s="9">
        <v>0</v>
      </c>
      <c r="H56" s="9">
        <v>1.31</v>
      </c>
      <c r="I56" s="9">
        <v>1.24</v>
      </c>
      <c r="J56" s="9">
        <v>12.13</v>
      </c>
      <c r="K56" s="9">
        <v>0.158</v>
      </c>
      <c r="L56" s="10">
        <v>0.00569</v>
      </c>
      <c r="M56" s="10"/>
      <c r="N56" s="11">
        <v>2.3</v>
      </c>
      <c r="O56" s="9">
        <v>12.64</v>
      </c>
      <c r="P56" s="12"/>
      <c r="Q56" s="33">
        <f t="shared" si="0"/>
        <v>5</v>
      </c>
      <c r="R56" s="10">
        <f ca="1">YEAR(NOW())-1898</f>
        <v>108</v>
      </c>
      <c r="S56" s="10">
        <v>2</v>
      </c>
      <c r="T56" s="10">
        <v>4</v>
      </c>
      <c r="U56" s="10">
        <v>6</v>
      </c>
    </row>
    <row r="57" spans="1:21" ht="12.75">
      <c r="A57" s="19" t="s">
        <v>55</v>
      </c>
      <c r="B57" s="17">
        <f t="shared" si="1"/>
        <v>55</v>
      </c>
      <c r="C57" s="17">
        <v>944</v>
      </c>
      <c r="D57" s="17">
        <v>301.54</v>
      </c>
      <c r="E57" s="17">
        <v>1.87</v>
      </c>
      <c r="F57" s="17">
        <v>132.9054</v>
      </c>
      <c r="G57" s="17">
        <v>1</v>
      </c>
      <c r="H57" s="17">
        <v>2.35</v>
      </c>
      <c r="I57" s="17">
        <v>3.34</v>
      </c>
      <c r="J57" s="17">
        <v>3.894</v>
      </c>
      <c r="K57" s="17">
        <v>0.24</v>
      </c>
      <c r="L57" s="20">
        <v>35.9</v>
      </c>
      <c r="M57" s="20">
        <v>5.3</v>
      </c>
      <c r="N57" s="21">
        <v>2.092</v>
      </c>
      <c r="O57" s="17">
        <v>67.74</v>
      </c>
      <c r="P57" s="17">
        <v>0.79</v>
      </c>
      <c r="Q57" s="33">
        <f t="shared" si="0"/>
        <v>6</v>
      </c>
      <c r="R57" s="20">
        <f ca="1">YEAR(NOW())-1860</f>
        <v>146</v>
      </c>
      <c r="S57" s="20"/>
      <c r="T57" s="20"/>
      <c r="U57" s="20"/>
    </row>
    <row r="58" spans="1:18" ht="12.75">
      <c r="A58" s="13" t="s">
        <v>56</v>
      </c>
      <c r="B58" s="5">
        <f t="shared" si="1"/>
        <v>56</v>
      </c>
      <c r="C58" s="5">
        <v>2078</v>
      </c>
      <c r="D58" s="5">
        <v>1002</v>
      </c>
      <c r="E58" s="5">
        <v>3.59</v>
      </c>
      <c r="F58" s="5">
        <v>137.33</v>
      </c>
      <c r="G58" s="5">
        <v>2</v>
      </c>
      <c r="H58" s="5">
        <v>1.98</v>
      </c>
      <c r="I58" s="5">
        <v>2.76</v>
      </c>
      <c r="J58" s="5">
        <v>5.212</v>
      </c>
      <c r="K58" s="5">
        <v>0.204</v>
      </c>
      <c r="L58" s="4">
        <v>18.4</v>
      </c>
      <c r="M58" s="4">
        <v>2.8</v>
      </c>
      <c r="N58" s="7">
        <v>8.01</v>
      </c>
      <c r="O58" s="5">
        <v>140.2</v>
      </c>
      <c r="P58" s="5">
        <v>0.89</v>
      </c>
      <c r="Q58" s="33">
        <f t="shared" si="0"/>
        <v>6</v>
      </c>
      <c r="R58" s="4">
        <f ca="1">YEAR(NOW())-1808</f>
        <v>198</v>
      </c>
    </row>
    <row r="59" spans="1:18" ht="12.75">
      <c r="A59" s="13" t="s">
        <v>57</v>
      </c>
      <c r="B59" s="5">
        <f t="shared" si="1"/>
        <v>57</v>
      </c>
      <c r="C59" s="5">
        <v>3737</v>
      </c>
      <c r="D59" s="5">
        <v>1191</v>
      </c>
      <c r="E59" s="5">
        <v>6.15</v>
      </c>
      <c r="F59" s="5">
        <v>138.9055</v>
      </c>
      <c r="G59" s="5">
        <v>3</v>
      </c>
      <c r="H59" s="5">
        <v>1.25</v>
      </c>
      <c r="I59" s="5">
        <v>2.74</v>
      </c>
      <c r="J59" s="5">
        <v>5.58</v>
      </c>
      <c r="K59" s="5">
        <v>0.19</v>
      </c>
      <c r="L59" s="4">
        <v>13.5</v>
      </c>
      <c r="M59" s="4">
        <v>1.9</v>
      </c>
      <c r="N59" s="7">
        <v>11.3</v>
      </c>
      <c r="O59" s="5">
        <v>399.57</v>
      </c>
      <c r="P59" s="5">
        <v>1.1</v>
      </c>
      <c r="Q59" s="33">
        <f t="shared" si="0"/>
        <v>9</v>
      </c>
      <c r="R59" s="4">
        <f ca="1">YEAR(NOW())-1839</f>
        <v>167</v>
      </c>
    </row>
    <row r="60" spans="1:19" ht="12.75">
      <c r="A60" s="13" t="s">
        <v>58</v>
      </c>
      <c r="B60" s="5">
        <f t="shared" si="1"/>
        <v>58</v>
      </c>
      <c r="C60" s="5">
        <v>3715</v>
      </c>
      <c r="D60" s="5">
        <v>1071</v>
      </c>
      <c r="E60" s="5">
        <v>6.77</v>
      </c>
      <c r="F60" s="5">
        <v>140.12</v>
      </c>
      <c r="G60" s="5">
        <v>3</v>
      </c>
      <c r="H60" s="5">
        <v>1.65</v>
      </c>
      <c r="I60" s="5">
        <v>2.7</v>
      </c>
      <c r="J60" s="5">
        <v>5.54</v>
      </c>
      <c r="K60" s="5">
        <v>0.19</v>
      </c>
      <c r="L60" s="4">
        <v>11.4</v>
      </c>
      <c r="M60" s="4">
        <v>1.4</v>
      </c>
      <c r="N60" s="7">
        <v>9.2</v>
      </c>
      <c r="O60" s="5">
        <v>313.8</v>
      </c>
      <c r="P60" s="5">
        <v>1.12</v>
      </c>
      <c r="Q60" s="33">
        <f t="shared" si="0"/>
        <v>6</v>
      </c>
      <c r="R60" s="4">
        <f ca="1">YEAR(NOW())-1803</f>
        <v>203</v>
      </c>
      <c r="S60" s="4">
        <v>4</v>
      </c>
    </row>
    <row r="61" spans="1:19" ht="12.75">
      <c r="A61" s="13" t="s">
        <v>59</v>
      </c>
      <c r="B61" s="5">
        <f t="shared" si="1"/>
        <v>59</v>
      </c>
      <c r="C61" s="5">
        <v>3785</v>
      </c>
      <c r="D61" s="5">
        <v>1204</v>
      </c>
      <c r="E61" s="5">
        <v>6.77</v>
      </c>
      <c r="F61" s="5">
        <v>140.9077</v>
      </c>
      <c r="G61" s="5">
        <v>3</v>
      </c>
      <c r="H61" s="5">
        <v>1.65</v>
      </c>
      <c r="I61" s="5">
        <v>2.67</v>
      </c>
      <c r="J61" s="5">
        <v>5.46</v>
      </c>
      <c r="K61" s="5">
        <v>0.193</v>
      </c>
      <c r="L61" s="4">
        <v>12.5</v>
      </c>
      <c r="M61" s="4">
        <v>1.5</v>
      </c>
      <c r="N61" s="7">
        <v>10.04</v>
      </c>
      <c r="O61" s="5">
        <v>332.63</v>
      </c>
      <c r="P61" s="5">
        <v>1.13</v>
      </c>
      <c r="Q61" s="33">
        <f t="shared" si="0"/>
        <v>12</v>
      </c>
      <c r="R61" s="4">
        <f ca="1">YEAR(NOW())-1885</f>
        <v>121</v>
      </c>
      <c r="S61" s="4">
        <v>4</v>
      </c>
    </row>
    <row r="62" spans="1:18" ht="12.75">
      <c r="A62" s="13" t="s">
        <v>60</v>
      </c>
      <c r="B62" s="5">
        <f t="shared" si="1"/>
        <v>60</v>
      </c>
      <c r="C62" s="5">
        <v>3347</v>
      </c>
      <c r="D62" s="5">
        <v>1294</v>
      </c>
      <c r="E62" s="5">
        <v>7.01</v>
      </c>
      <c r="F62" s="5">
        <v>144.24</v>
      </c>
      <c r="G62" s="5">
        <v>3</v>
      </c>
      <c r="H62" s="5">
        <v>1.64</v>
      </c>
      <c r="I62" s="5">
        <v>2.64</v>
      </c>
      <c r="J62" s="5">
        <v>5.53</v>
      </c>
      <c r="K62" s="5">
        <v>0.19</v>
      </c>
      <c r="L62" s="4">
        <v>16.5</v>
      </c>
      <c r="M62" s="4">
        <v>1.6</v>
      </c>
      <c r="N62" s="7">
        <v>10.88</v>
      </c>
      <c r="O62" s="5">
        <v>283.68</v>
      </c>
      <c r="P62" s="5">
        <v>1.14</v>
      </c>
      <c r="Q62" s="33">
        <f t="shared" si="0"/>
        <v>9</v>
      </c>
      <c r="R62" s="4">
        <f ca="1">YEAR(NOW())-1841</f>
        <v>165</v>
      </c>
    </row>
    <row r="63" spans="1:18" ht="12.75">
      <c r="A63" s="13" t="s">
        <v>61</v>
      </c>
      <c r="B63" s="5">
        <f t="shared" si="1"/>
        <v>61</v>
      </c>
      <c r="C63" s="5">
        <v>3273</v>
      </c>
      <c r="D63" s="5">
        <v>1315</v>
      </c>
      <c r="E63" s="5">
        <v>7.22</v>
      </c>
      <c r="F63" s="5">
        <v>145</v>
      </c>
      <c r="G63" s="5">
        <v>3</v>
      </c>
      <c r="H63" s="5">
        <v>1.63</v>
      </c>
      <c r="I63" s="5">
        <v>2.62</v>
      </c>
      <c r="J63" s="5">
        <v>5.554</v>
      </c>
      <c r="K63" s="5"/>
      <c r="L63" s="4">
        <v>17.9</v>
      </c>
      <c r="M63" s="4">
        <v>2</v>
      </c>
      <c r="N63" s="7"/>
      <c r="O63" s="22"/>
      <c r="P63" s="5">
        <v>1.13</v>
      </c>
      <c r="Q63" s="33">
        <f t="shared" si="0"/>
        <v>10</v>
      </c>
      <c r="R63" s="4">
        <f ca="1">YEAR(NOW())-1941</f>
        <v>65</v>
      </c>
    </row>
    <row r="64" spans="1:19" ht="12.75">
      <c r="A64" s="13" t="s">
        <v>62</v>
      </c>
      <c r="B64" s="5">
        <f t="shared" si="1"/>
        <v>62</v>
      </c>
      <c r="C64" s="5">
        <v>2067</v>
      </c>
      <c r="D64" s="5">
        <v>1347</v>
      </c>
      <c r="E64" s="5">
        <v>2.75</v>
      </c>
      <c r="F64" s="5">
        <v>150.36</v>
      </c>
      <c r="G64" s="5">
        <v>3</v>
      </c>
      <c r="H64" s="5">
        <v>1.62</v>
      </c>
      <c r="I64" s="5">
        <v>2.59</v>
      </c>
      <c r="J64" s="5">
        <v>5.64</v>
      </c>
      <c r="K64" s="5">
        <v>0.197</v>
      </c>
      <c r="L64" s="4" t="s">
        <v>63</v>
      </c>
      <c r="M64" s="4">
        <v>1.1</v>
      </c>
      <c r="N64" s="7">
        <v>11.09</v>
      </c>
      <c r="O64" s="5">
        <v>191.63</v>
      </c>
      <c r="P64" s="5">
        <v>1.17</v>
      </c>
      <c r="Q64" s="33">
        <f t="shared" si="0"/>
        <v>8</v>
      </c>
      <c r="R64" s="4">
        <f ca="1">YEAR(NOW())-1879</f>
        <v>127</v>
      </c>
      <c r="S64" s="4">
        <v>2</v>
      </c>
    </row>
    <row r="65" spans="1:19" ht="12.75">
      <c r="A65" s="13" t="s">
        <v>64</v>
      </c>
      <c r="B65" s="5">
        <f t="shared" si="1"/>
        <v>63</v>
      </c>
      <c r="C65" s="5">
        <v>1800</v>
      </c>
      <c r="D65" s="5">
        <v>1095</v>
      </c>
      <c r="E65" s="5">
        <v>5.24</v>
      </c>
      <c r="F65" s="5">
        <v>151.965</v>
      </c>
      <c r="G65" s="5">
        <v>3</v>
      </c>
      <c r="H65" s="5">
        <v>1.85</v>
      </c>
      <c r="I65" s="5">
        <v>2.56</v>
      </c>
      <c r="J65" s="5">
        <v>5.67</v>
      </c>
      <c r="K65" s="5">
        <v>0.182</v>
      </c>
      <c r="L65" s="4">
        <v>13.9</v>
      </c>
      <c r="M65" s="4">
        <v>1.1</v>
      </c>
      <c r="N65" s="7">
        <v>10.46</v>
      </c>
      <c r="O65" s="5">
        <v>175.73</v>
      </c>
      <c r="P65" s="5">
        <v>1.2</v>
      </c>
      <c r="Q65" s="33">
        <f t="shared" si="0"/>
        <v>8</v>
      </c>
      <c r="R65" s="4">
        <f ca="1">YEAR(NOW())-1901</f>
        <v>105</v>
      </c>
      <c r="S65" s="4">
        <v>2</v>
      </c>
    </row>
    <row r="66" spans="1:18" ht="12.75">
      <c r="A66" s="13" t="s">
        <v>65</v>
      </c>
      <c r="B66" s="5">
        <f t="shared" si="1"/>
        <v>64</v>
      </c>
      <c r="C66" s="5">
        <v>3545</v>
      </c>
      <c r="D66" s="5">
        <v>1585</v>
      </c>
      <c r="E66" s="5">
        <v>7.9</v>
      </c>
      <c r="F66" s="5">
        <v>157.25</v>
      </c>
      <c r="G66" s="5">
        <v>3</v>
      </c>
      <c r="H66" s="5">
        <v>1.61</v>
      </c>
      <c r="I66" s="5">
        <v>2.54</v>
      </c>
      <c r="J66" s="5">
        <v>6.15</v>
      </c>
      <c r="K66" s="5">
        <v>0.236</v>
      </c>
      <c r="L66" s="4">
        <v>10.6</v>
      </c>
      <c r="M66" s="4">
        <v>0.8</v>
      </c>
      <c r="N66" s="7">
        <v>15.48</v>
      </c>
      <c r="O66" s="5">
        <v>311.71</v>
      </c>
      <c r="P66" s="5">
        <v>1.2</v>
      </c>
      <c r="Q66" s="33">
        <f t="shared" si="0"/>
        <v>10</v>
      </c>
      <c r="R66" s="4">
        <f ca="1">YEAR(NOW())-1886</f>
        <v>120</v>
      </c>
    </row>
    <row r="67" spans="1:19" ht="12.75">
      <c r="A67" s="13" t="s">
        <v>66</v>
      </c>
      <c r="B67" s="5">
        <f t="shared" si="1"/>
        <v>65</v>
      </c>
      <c r="C67" s="5">
        <v>3500</v>
      </c>
      <c r="D67" s="5">
        <v>1629</v>
      </c>
      <c r="E67" s="5">
        <v>8.23</v>
      </c>
      <c r="F67" s="5">
        <v>158.9253</v>
      </c>
      <c r="G67" s="5">
        <v>3</v>
      </c>
      <c r="H67" s="5">
        <v>1.59</v>
      </c>
      <c r="I67" s="5">
        <v>2.51</v>
      </c>
      <c r="J67" s="5">
        <v>5.86</v>
      </c>
      <c r="K67" s="5">
        <v>0.18</v>
      </c>
      <c r="L67" s="4">
        <v>11.1</v>
      </c>
      <c r="M67" s="4">
        <v>0.9</v>
      </c>
      <c r="N67" s="7"/>
      <c r="O67" s="5"/>
      <c r="P67" s="5">
        <v>1.2</v>
      </c>
      <c r="Q67" s="33">
        <f t="shared" si="0"/>
        <v>7</v>
      </c>
      <c r="R67" s="4">
        <f ca="1">YEAR(NOW())-1843</f>
        <v>163</v>
      </c>
      <c r="S67" s="4">
        <v>4</v>
      </c>
    </row>
    <row r="68" spans="1:18" ht="12.75">
      <c r="A68" s="13" t="s">
        <v>67</v>
      </c>
      <c r="B68" s="5">
        <f t="shared" si="1"/>
        <v>66</v>
      </c>
      <c r="C68" s="5">
        <v>2840</v>
      </c>
      <c r="D68" s="5">
        <v>1685</v>
      </c>
      <c r="E68" s="5">
        <v>8.55</v>
      </c>
      <c r="F68" s="5">
        <v>162.5</v>
      </c>
      <c r="G68" s="5">
        <v>3</v>
      </c>
      <c r="H68" s="5">
        <v>1.59</v>
      </c>
      <c r="I68" s="5">
        <v>2.49</v>
      </c>
      <c r="J68" s="5">
        <v>5.94</v>
      </c>
      <c r="K68" s="5">
        <v>0.173</v>
      </c>
      <c r="L68" s="4">
        <v>10.7</v>
      </c>
      <c r="M68" s="4">
        <v>1.1</v>
      </c>
      <c r="N68" s="7">
        <v>11.06</v>
      </c>
      <c r="O68" s="5">
        <v>230</v>
      </c>
      <c r="P68" s="5">
        <v>1.22</v>
      </c>
      <c r="Q68" s="33">
        <f aca="true" t="shared" si="2" ref="Q68:Q123">LEN(A68)</f>
        <v>10</v>
      </c>
      <c r="R68" s="4">
        <f ca="1">YEAR(NOW())-1886</f>
        <v>120</v>
      </c>
    </row>
    <row r="69" spans="1:18" ht="12.75">
      <c r="A69" s="13" t="s">
        <v>68</v>
      </c>
      <c r="B69" s="5">
        <f aca="true" t="shared" si="3" ref="B69:B111">B68+1</f>
        <v>67</v>
      </c>
      <c r="C69" s="5">
        <v>2968</v>
      </c>
      <c r="D69" s="5">
        <v>1747</v>
      </c>
      <c r="E69" s="5">
        <v>8.8</v>
      </c>
      <c r="F69" s="5">
        <v>164.9303</v>
      </c>
      <c r="G69" s="5">
        <v>3</v>
      </c>
      <c r="H69" s="5">
        <v>1.58</v>
      </c>
      <c r="I69" s="5">
        <v>2.47</v>
      </c>
      <c r="J69" s="5">
        <v>6.018</v>
      </c>
      <c r="K69" s="5">
        <v>0.165</v>
      </c>
      <c r="L69" s="4">
        <v>16.2</v>
      </c>
      <c r="M69" s="4">
        <v>1.1</v>
      </c>
      <c r="N69" s="7">
        <v>17.15</v>
      </c>
      <c r="O69" s="5">
        <v>251.04</v>
      </c>
      <c r="P69" s="5">
        <v>1.23</v>
      </c>
      <c r="Q69" s="33">
        <f t="shared" si="2"/>
        <v>7</v>
      </c>
      <c r="R69" s="4">
        <f ca="1">YEAR(NOW())-1878</f>
        <v>128</v>
      </c>
    </row>
    <row r="70" spans="1:18" ht="12.75">
      <c r="A70" s="13" t="s">
        <v>69</v>
      </c>
      <c r="B70" s="5">
        <f t="shared" si="3"/>
        <v>68</v>
      </c>
      <c r="C70" s="5">
        <v>3140</v>
      </c>
      <c r="D70" s="5">
        <v>1802</v>
      </c>
      <c r="E70" s="5">
        <v>9.07</v>
      </c>
      <c r="F70" s="5">
        <v>167.26</v>
      </c>
      <c r="G70" s="5">
        <v>3</v>
      </c>
      <c r="H70" s="5">
        <v>1.57</v>
      </c>
      <c r="I70" s="5">
        <v>2.45</v>
      </c>
      <c r="J70" s="5">
        <v>6.101</v>
      </c>
      <c r="K70" s="5">
        <v>0.168</v>
      </c>
      <c r="L70" s="4">
        <v>14.3</v>
      </c>
      <c r="M70" s="4">
        <v>1.2</v>
      </c>
      <c r="N70" s="7">
        <v>17.15</v>
      </c>
      <c r="O70" s="5">
        <v>292.88</v>
      </c>
      <c r="P70" s="5">
        <v>1.24</v>
      </c>
      <c r="Q70" s="33">
        <f t="shared" si="2"/>
        <v>6</v>
      </c>
      <c r="R70" s="4">
        <f ca="1">YEAR(NOW())-1842</f>
        <v>164</v>
      </c>
    </row>
    <row r="71" spans="1:19" ht="12.75">
      <c r="A71" s="13" t="s">
        <v>70</v>
      </c>
      <c r="B71" s="5">
        <f t="shared" si="3"/>
        <v>69</v>
      </c>
      <c r="C71" s="5">
        <v>2223</v>
      </c>
      <c r="D71" s="5">
        <v>1818</v>
      </c>
      <c r="E71" s="5">
        <v>9.32</v>
      </c>
      <c r="F71" s="5">
        <v>168.9342</v>
      </c>
      <c r="G71" s="5">
        <v>3</v>
      </c>
      <c r="H71" s="5">
        <v>1.56</v>
      </c>
      <c r="I71" s="5">
        <v>2.42</v>
      </c>
      <c r="J71" s="5">
        <v>6.184</v>
      </c>
      <c r="K71" s="5">
        <v>0.16</v>
      </c>
      <c r="L71" s="4">
        <v>16.8</v>
      </c>
      <c r="M71" s="4">
        <v>1.3</v>
      </c>
      <c r="N71" s="7">
        <v>16.8</v>
      </c>
      <c r="O71" s="5">
        <v>191</v>
      </c>
      <c r="P71" s="5">
        <v>1.25</v>
      </c>
      <c r="Q71" s="33">
        <f t="shared" si="2"/>
        <v>7</v>
      </c>
      <c r="R71" s="4">
        <f ca="1">YEAR(NOW())-1879</f>
        <v>127</v>
      </c>
      <c r="S71" s="4">
        <v>2</v>
      </c>
    </row>
    <row r="72" spans="1:19" ht="12.75">
      <c r="A72" s="13" t="s">
        <v>71</v>
      </c>
      <c r="B72" s="5">
        <f t="shared" si="3"/>
        <v>70</v>
      </c>
      <c r="C72" s="5">
        <v>1469</v>
      </c>
      <c r="D72" s="5">
        <v>1092</v>
      </c>
      <c r="E72" s="5">
        <v>6.97</v>
      </c>
      <c r="F72" s="5">
        <v>173.04</v>
      </c>
      <c r="G72" s="5">
        <v>3</v>
      </c>
      <c r="H72" s="5">
        <v>1.7</v>
      </c>
      <c r="I72" s="5">
        <v>2.4</v>
      </c>
      <c r="J72" s="5">
        <v>6.254</v>
      </c>
      <c r="K72" s="5">
        <v>0.155</v>
      </c>
      <c r="L72" s="4">
        <v>34.9</v>
      </c>
      <c r="M72" s="4">
        <v>3.7</v>
      </c>
      <c r="N72" s="7">
        <v>7.7</v>
      </c>
      <c r="O72" s="5">
        <v>128</v>
      </c>
      <c r="P72" s="5">
        <v>1.1</v>
      </c>
      <c r="Q72" s="33">
        <f t="shared" si="2"/>
        <v>9</v>
      </c>
      <c r="R72" s="4">
        <f ca="1">YEAR(NOW())-1907</f>
        <v>99</v>
      </c>
      <c r="S72" s="4">
        <v>2</v>
      </c>
    </row>
    <row r="73" spans="1:18" ht="12.75">
      <c r="A73" s="13" t="s">
        <v>72</v>
      </c>
      <c r="B73" s="5">
        <f t="shared" si="3"/>
        <v>71</v>
      </c>
      <c r="C73" s="5">
        <v>3668</v>
      </c>
      <c r="D73" s="5">
        <v>1936</v>
      </c>
      <c r="E73" s="5">
        <v>9.84</v>
      </c>
      <c r="F73" s="5">
        <v>174.967</v>
      </c>
      <c r="G73" s="5">
        <v>3</v>
      </c>
      <c r="H73" s="5">
        <v>1.56</v>
      </c>
      <c r="I73" s="5">
        <v>2.25</v>
      </c>
      <c r="J73" s="5">
        <v>5.43</v>
      </c>
      <c r="K73" s="5">
        <v>0.15</v>
      </c>
      <c r="L73" s="4">
        <v>16.4</v>
      </c>
      <c r="M73" s="4">
        <v>1.5</v>
      </c>
      <c r="N73" s="7">
        <v>18.6</v>
      </c>
      <c r="O73" s="5">
        <v>355</v>
      </c>
      <c r="P73" s="5">
        <v>1.27</v>
      </c>
      <c r="Q73" s="33">
        <f t="shared" si="2"/>
        <v>8</v>
      </c>
      <c r="R73" s="4">
        <f ca="1">YEAR(NOW())-1907</f>
        <v>99</v>
      </c>
    </row>
    <row r="74" spans="1:18" ht="12.75">
      <c r="A74" s="13" t="s">
        <v>73</v>
      </c>
      <c r="B74" s="5">
        <f t="shared" si="3"/>
        <v>72</v>
      </c>
      <c r="C74" s="5">
        <v>4875</v>
      </c>
      <c r="D74" s="5">
        <v>2504</v>
      </c>
      <c r="E74" s="5">
        <v>13.31</v>
      </c>
      <c r="F74" s="5">
        <v>178.49</v>
      </c>
      <c r="G74" s="5">
        <v>4</v>
      </c>
      <c r="H74" s="5">
        <v>1.44</v>
      </c>
      <c r="I74" s="5">
        <v>2.16</v>
      </c>
      <c r="J74" s="5">
        <v>6.65</v>
      </c>
      <c r="K74" s="5">
        <v>0.14</v>
      </c>
      <c r="L74" s="4">
        <v>23</v>
      </c>
      <c r="M74" s="4">
        <v>3.4</v>
      </c>
      <c r="N74" s="7">
        <v>21.76</v>
      </c>
      <c r="O74" s="5">
        <v>661.07</v>
      </c>
      <c r="P74" s="5">
        <v>1.3</v>
      </c>
      <c r="Q74" s="33">
        <f t="shared" si="2"/>
        <v>7</v>
      </c>
      <c r="R74" s="4">
        <f ca="1">YEAR(NOW())-1923</f>
        <v>83</v>
      </c>
    </row>
    <row r="75" spans="1:18" ht="12.75">
      <c r="A75" s="13" t="s">
        <v>74</v>
      </c>
      <c r="B75" s="5">
        <f t="shared" si="3"/>
        <v>73</v>
      </c>
      <c r="C75" s="5">
        <v>5730</v>
      </c>
      <c r="D75" s="5">
        <v>3293</v>
      </c>
      <c r="E75" s="5">
        <v>16.65</v>
      </c>
      <c r="F75" s="5">
        <v>180.9479</v>
      </c>
      <c r="G75" s="5">
        <v>5</v>
      </c>
      <c r="H75" s="5">
        <v>1.34</v>
      </c>
      <c r="I75" s="5">
        <v>2.09</v>
      </c>
      <c r="J75" s="5">
        <v>7.89</v>
      </c>
      <c r="K75" s="5">
        <v>0.14</v>
      </c>
      <c r="L75" s="4">
        <v>57.5</v>
      </c>
      <c r="M75" s="4">
        <v>8.1</v>
      </c>
      <c r="N75" s="7">
        <v>36</v>
      </c>
      <c r="O75" s="5">
        <v>737</v>
      </c>
      <c r="P75" s="5">
        <v>1.5</v>
      </c>
      <c r="Q75" s="33">
        <f t="shared" si="2"/>
        <v>8</v>
      </c>
      <c r="R75" s="4">
        <f ca="1">YEAR(NOW())-1802</f>
        <v>204</v>
      </c>
    </row>
    <row r="76" spans="1:21" ht="12.75">
      <c r="A76" s="13" t="s">
        <v>75</v>
      </c>
      <c r="B76" s="5">
        <f t="shared" si="3"/>
        <v>74</v>
      </c>
      <c r="C76" s="5">
        <v>5825</v>
      </c>
      <c r="D76" s="5">
        <v>3695</v>
      </c>
      <c r="E76" s="5">
        <v>19.3</v>
      </c>
      <c r="F76" s="5">
        <v>183.85</v>
      </c>
      <c r="G76" s="5">
        <v>6</v>
      </c>
      <c r="H76" s="5">
        <v>1.3</v>
      </c>
      <c r="I76" s="5">
        <v>2.02</v>
      </c>
      <c r="J76" s="5">
        <v>7.98</v>
      </c>
      <c r="K76" s="5">
        <v>0.13</v>
      </c>
      <c r="L76" s="4">
        <v>174</v>
      </c>
      <c r="M76" s="4">
        <v>18.2</v>
      </c>
      <c r="N76" s="7">
        <v>35.4</v>
      </c>
      <c r="O76" s="5">
        <v>422.58</v>
      </c>
      <c r="P76" s="5">
        <v>2.36</v>
      </c>
      <c r="Q76" s="33">
        <f t="shared" si="2"/>
        <v>8</v>
      </c>
      <c r="R76" s="4">
        <f ca="1">YEAR(NOW())-1783</f>
        <v>223</v>
      </c>
      <c r="S76" s="4">
        <v>5</v>
      </c>
      <c r="T76" s="4">
        <v>4</v>
      </c>
      <c r="U76" s="4">
        <v>3</v>
      </c>
    </row>
    <row r="77" spans="1:21" ht="12.75">
      <c r="A77" s="13" t="s">
        <v>76</v>
      </c>
      <c r="B77" s="5">
        <f t="shared" si="3"/>
        <v>75</v>
      </c>
      <c r="C77" s="5">
        <v>5870</v>
      </c>
      <c r="D77" s="5">
        <v>3455</v>
      </c>
      <c r="E77" s="5">
        <v>21</v>
      </c>
      <c r="F77" s="5">
        <v>186.207</v>
      </c>
      <c r="G77" s="5">
        <v>7</v>
      </c>
      <c r="H77" s="5">
        <v>1.28</v>
      </c>
      <c r="I77" s="5">
        <v>1.97</v>
      </c>
      <c r="J77" s="5">
        <v>7.88</v>
      </c>
      <c r="K77" s="5">
        <v>0.137</v>
      </c>
      <c r="L77" s="4">
        <v>47.9</v>
      </c>
      <c r="M77" s="4">
        <v>5.8</v>
      </c>
      <c r="N77" s="7">
        <v>33.05</v>
      </c>
      <c r="O77" s="5">
        <v>707.1</v>
      </c>
      <c r="P77" s="5">
        <v>1.9</v>
      </c>
      <c r="Q77" s="33">
        <f t="shared" si="2"/>
        <v>7</v>
      </c>
      <c r="R77" s="4">
        <f ca="1">YEAR(NOW())-1925</f>
        <v>81</v>
      </c>
      <c r="S77" s="4">
        <v>4</v>
      </c>
      <c r="T77" s="4">
        <v>6</v>
      </c>
      <c r="U77" s="4">
        <v>2</v>
      </c>
    </row>
    <row r="78" spans="1:21" ht="12.75">
      <c r="A78" s="13" t="s">
        <v>77</v>
      </c>
      <c r="B78" s="5">
        <f t="shared" si="3"/>
        <v>76</v>
      </c>
      <c r="C78" s="5">
        <v>5300</v>
      </c>
      <c r="D78" s="5">
        <v>3300</v>
      </c>
      <c r="E78" s="5">
        <v>22.6</v>
      </c>
      <c r="F78" s="5">
        <v>190.2</v>
      </c>
      <c r="G78" s="5">
        <v>4</v>
      </c>
      <c r="H78" s="5">
        <v>1.26</v>
      </c>
      <c r="I78" s="5">
        <v>1.92</v>
      </c>
      <c r="J78" s="5">
        <v>8.7</v>
      </c>
      <c r="K78" s="5">
        <v>0.13</v>
      </c>
      <c r="L78" s="4">
        <v>87.6</v>
      </c>
      <c r="M78" s="4">
        <v>12.3</v>
      </c>
      <c r="N78" s="7">
        <v>29.29</v>
      </c>
      <c r="O78" s="5">
        <v>627.6</v>
      </c>
      <c r="P78" s="5">
        <v>2.2</v>
      </c>
      <c r="Q78" s="33">
        <f t="shared" si="2"/>
        <v>6</v>
      </c>
      <c r="R78" s="4">
        <f ca="1">YEAR(NOW())-1803</f>
        <v>203</v>
      </c>
      <c r="S78" s="4">
        <v>3</v>
      </c>
      <c r="T78" s="4">
        <v>6</v>
      </c>
      <c r="U78" s="4">
        <v>8</v>
      </c>
    </row>
    <row r="79" spans="1:21" ht="12.75">
      <c r="A79" s="13" t="s">
        <v>78</v>
      </c>
      <c r="B79" s="5">
        <f t="shared" si="3"/>
        <v>77</v>
      </c>
      <c r="C79" s="5">
        <v>4700</v>
      </c>
      <c r="D79" s="5">
        <v>2720</v>
      </c>
      <c r="E79" s="5">
        <v>22.6</v>
      </c>
      <c r="F79" s="5">
        <v>192.22</v>
      </c>
      <c r="G79" s="5">
        <v>4</v>
      </c>
      <c r="H79" s="5">
        <v>1.27</v>
      </c>
      <c r="I79" s="5">
        <v>1.87</v>
      </c>
      <c r="J79" s="5">
        <v>9.1</v>
      </c>
      <c r="K79" s="5">
        <v>0.13</v>
      </c>
      <c r="L79" s="4">
        <v>147</v>
      </c>
      <c r="M79" s="4">
        <v>21.3</v>
      </c>
      <c r="N79" s="7">
        <v>26.36</v>
      </c>
      <c r="O79" s="5">
        <v>563.58</v>
      </c>
      <c r="P79" s="5">
        <v>2.2</v>
      </c>
      <c r="Q79" s="33">
        <f t="shared" si="2"/>
        <v>7</v>
      </c>
      <c r="R79" s="4">
        <f ca="1">YEAR(NOW())-1803</f>
        <v>203</v>
      </c>
      <c r="S79" s="4">
        <v>2</v>
      </c>
      <c r="T79" s="4">
        <v>3</v>
      </c>
      <c r="U79" s="4">
        <v>6</v>
      </c>
    </row>
    <row r="80" spans="1:19" ht="12.75">
      <c r="A80" s="13" t="s">
        <v>79</v>
      </c>
      <c r="B80" s="5">
        <f t="shared" si="3"/>
        <v>78</v>
      </c>
      <c r="C80" s="5">
        <v>4100</v>
      </c>
      <c r="D80" s="5">
        <v>2042.1</v>
      </c>
      <c r="E80" s="5">
        <v>21.45</v>
      </c>
      <c r="F80" s="5">
        <v>195.08</v>
      </c>
      <c r="G80" s="5">
        <v>4</v>
      </c>
      <c r="H80" s="5">
        <v>1.3</v>
      </c>
      <c r="I80" s="5">
        <v>1.83</v>
      </c>
      <c r="J80" s="5">
        <v>9</v>
      </c>
      <c r="K80" s="5">
        <v>0.13</v>
      </c>
      <c r="L80" s="4">
        <v>71.6</v>
      </c>
      <c r="M80" s="4">
        <v>9.4</v>
      </c>
      <c r="N80" s="7">
        <v>19.66</v>
      </c>
      <c r="O80" s="5">
        <v>510.45</v>
      </c>
      <c r="P80" s="5">
        <v>2.28</v>
      </c>
      <c r="Q80" s="33">
        <f t="shared" si="2"/>
        <v>8</v>
      </c>
      <c r="R80" s="4">
        <f ca="1">YEAR(NOW())-1735</f>
        <v>271</v>
      </c>
      <c r="S80" s="4">
        <v>2</v>
      </c>
    </row>
    <row r="81" spans="1:19" ht="12.75">
      <c r="A81" s="13" t="s">
        <v>80</v>
      </c>
      <c r="B81" s="5">
        <f t="shared" si="3"/>
        <v>79</v>
      </c>
      <c r="C81" s="5">
        <v>3130</v>
      </c>
      <c r="D81" s="5">
        <v>1337.58</v>
      </c>
      <c r="E81" s="5">
        <v>19.3</v>
      </c>
      <c r="F81" s="5">
        <v>196.9665</v>
      </c>
      <c r="G81" s="5">
        <v>3</v>
      </c>
      <c r="H81" s="5">
        <v>1.34</v>
      </c>
      <c r="I81" s="5">
        <v>1.79</v>
      </c>
      <c r="J81" s="5">
        <v>9.225</v>
      </c>
      <c r="K81" s="5">
        <v>0.128</v>
      </c>
      <c r="L81" s="4">
        <v>317</v>
      </c>
      <c r="M81" s="4">
        <v>48.8</v>
      </c>
      <c r="N81" s="7">
        <v>12.36</v>
      </c>
      <c r="O81" s="5">
        <v>324.43</v>
      </c>
      <c r="P81" s="5">
        <v>2.54</v>
      </c>
      <c r="Q81" s="33">
        <f t="shared" si="2"/>
        <v>4</v>
      </c>
      <c r="R81" s="4" t="s">
        <v>243</v>
      </c>
      <c r="S81" s="4">
        <v>1</v>
      </c>
    </row>
    <row r="82" spans="1:21" ht="12.75">
      <c r="A82" s="19" t="s">
        <v>81</v>
      </c>
      <c r="B82" s="17">
        <f t="shared" si="3"/>
        <v>80</v>
      </c>
      <c r="C82" s="17">
        <v>629.88</v>
      </c>
      <c r="D82" s="17">
        <v>234.31</v>
      </c>
      <c r="E82" s="17">
        <v>13.55</v>
      </c>
      <c r="F82" s="17">
        <v>200.59</v>
      </c>
      <c r="G82" s="17">
        <v>2</v>
      </c>
      <c r="H82" s="17">
        <v>1.49</v>
      </c>
      <c r="I82" s="17">
        <v>1.76</v>
      </c>
      <c r="J82" s="17">
        <v>10.437</v>
      </c>
      <c r="K82" s="17">
        <v>0.14</v>
      </c>
      <c r="L82" s="20">
        <v>8.34</v>
      </c>
      <c r="M82" s="20">
        <v>1</v>
      </c>
      <c r="N82" s="21">
        <v>2.292</v>
      </c>
      <c r="O82" s="17">
        <v>59.3</v>
      </c>
      <c r="P82" s="17">
        <v>2</v>
      </c>
      <c r="Q82" s="33">
        <f t="shared" si="2"/>
        <v>7</v>
      </c>
      <c r="R82" s="20" t="s">
        <v>243</v>
      </c>
      <c r="S82" s="20">
        <v>1</v>
      </c>
      <c r="T82" s="20"/>
      <c r="U82" s="20"/>
    </row>
    <row r="83" spans="1:19" ht="12.75">
      <c r="A83" s="13" t="s">
        <v>82</v>
      </c>
      <c r="B83" s="5">
        <f t="shared" si="3"/>
        <v>81</v>
      </c>
      <c r="C83" s="5">
        <v>1746</v>
      </c>
      <c r="D83" s="5">
        <v>577</v>
      </c>
      <c r="E83" s="5">
        <v>11.85</v>
      </c>
      <c r="F83" s="5">
        <v>204.383</v>
      </c>
      <c r="G83" s="5">
        <v>1</v>
      </c>
      <c r="H83" s="5">
        <v>1.48</v>
      </c>
      <c r="I83" s="5">
        <v>2.08</v>
      </c>
      <c r="J83" s="5">
        <v>6.108</v>
      </c>
      <c r="K83" s="5">
        <v>0.129</v>
      </c>
      <c r="L83" s="4">
        <v>46.1</v>
      </c>
      <c r="M83" s="4">
        <v>5.6</v>
      </c>
      <c r="N83" s="7">
        <v>4.27</v>
      </c>
      <c r="O83" s="5">
        <v>162.09</v>
      </c>
      <c r="P83" s="5">
        <v>2.04</v>
      </c>
      <c r="Q83" s="33">
        <f t="shared" si="2"/>
        <v>8</v>
      </c>
      <c r="R83" s="4">
        <f ca="1">YEAR(NOW())-1861</f>
        <v>145</v>
      </c>
      <c r="S83" s="4">
        <v>3</v>
      </c>
    </row>
    <row r="84" spans="1:19" ht="12.75">
      <c r="A84" s="13" t="s">
        <v>83</v>
      </c>
      <c r="B84" s="5">
        <f t="shared" si="3"/>
        <v>82</v>
      </c>
      <c r="C84" s="5">
        <v>2023</v>
      </c>
      <c r="D84" s="5">
        <v>600.65</v>
      </c>
      <c r="E84" s="5">
        <v>11.35</v>
      </c>
      <c r="F84" s="5">
        <v>207.2</v>
      </c>
      <c r="G84" s="5">
        <v>2</v>
      </c>
      <c r="H84" s="5">
        <v>1.47</v>
      </c>
      <c r="I84" s="5">
        <v>1.81</v>
      </c>
      <c r="J84" s="5">
        <v>7.416</v>
      </c>
      <c r="K84" s="5">
        <v>0.129</v>
      </c>
      <c r="L84" s="4">
        <v>35.3</v>
      </c>
      <c r="M84" s="4">
        <v>4.8</v>
      </c>
      <c r="N84" s="7">
        <v>4.77</v>
      </c>
      <c r="O84" s="5">
        <v>177.9</v>
      </c>
      <c r="P84" s="5">
        <v>2.33</v>
      </c>
      <c r="Q84" s="33">
        <f t="shared" si="2"/>
        <v>4</v>
      </c>
      <c r="R84" s="4" t="s">
        <v>243</v>
      </c>
      <c r="S84" s="4">
        <v>4</v>
      </c>
    </row>
    <row r="85" spans="1:19" ht="12.75">
      <c r="A85" s="13" t="s">
        <v>84</v>
      </c>
      <c r="B85" s="5">
        <f t="shared" si="3"/>
        <v>83</v>
      </c>
      <c r="C85" s="5">
        <v>1837</v>
      </c>
      <c r="D85" s="5">
        <v>544.59</v>
      </c>
      <c r="E85" s="5">
        <v>9.75</v>
      </c>
      <c r="F85" s="5">
        <v>208.9804</v>
      </c>
      <c r="G85" s="5">
        <v>3</v>
      </c>
      <c r="H85" s="5">
        <v>1.46</v>
      </c>
      <c r="I85" s="5">
        <v>1.63</v>
      </c>
      <c r="J85" s="5">
        <v>7.289</v>
      </c>
      <c r="K85" s="5">
        <v>0.122</v>
      </c>
      <c r="L85" s="4">
        <v>7.87</v>
      </c>
      <c r="M85" s="4">
        <v>0.9</v>
      </c>
      <c r="N85" s="7">
        <v>11</v>
      </c>
      <c r="O85" s="5">
        <v>179</v>
      </c>
      <c r="P85" s="5">
        <v>2.02</v>
      </c>
      <c r="Q85" s="33">
        <f t="shared" si="2"/>
        <v>7</v>
      </c>
      <c r="R85" s="4">
        <f ca="1">YEAR(NOW())-1753</f>
        <v>253</v>
      </c>
      <c r="S85" s="4">
        <v>5</v>
      </c>
    </row>
    <row r="86" spans="1:20" ht="12.75">
      <c r="A86" s="13" t="s">
        <v>85</v>
      </c>
      <c r="B86" s="5">
        <f t="shared" si="3"/>
        <v>84</v>
      </c>
      <c r="C86" s="5">
        <v>1235</v>
      </c>
      <c r="D86" s="5">
        <v>527</v>
      </c>
      <c r="E86" s="5">
        <v>9.3</v>
      </c>
      <c r="F86" s="5">
        <v>209</v>
      </c>
      <c r="G86" s="5">
        <v>4</v>
      </c>
      <c r="H86" s="5">
        <v>1.53</v>
      </c>
      <c r="I86" s="5">
        <v>1.53</v>
      </c>
      <c r="J86" s="5">
        <v>8.42</v>
      </c>
      <c r="K86" s="5"/>
      <c r="L86" s="4">
        <v>20</v>
      </c>
      <c r="M86" s="4">
        <v>0.7</v>
      </c>
      <c r="N86" s="7">
        <v>13</v>
      </c>
      <c r="O86" s="5">
        <v>120</v>
      </c>
      <c r="P86" s="5">
        <v>2</v>
      </c>
      <c r="Q86" s="33">
        <f t="shared" si="2"/>
        <v>8</v>
      </c>
      <c r="R86" s="4">
        <f ca="1">YEAR(NOW())-1898</f>
        <v>108</v>
      </c>
      <c r="S86" s="4">
        <v>2</v>
      </c>
      <c r="T86" s="4">
        <v>6</v>
      </c>
    </row>
    <row r="87" spans="1:21" ht="12.75">
      <c r="A87" s="13" t="s">
        <v>86</v>
      </c>
      <c r="B87" s="5">
        <f t="shared" si="3"/>
        <v>85</v>
      </c>
      <c r="C87" s="5">
        <v>610</v>
      </c>
      <c r="D87" s="5">
        <v>575</v>
      </c>
      <c r="E87" s="5"/>
      <c r="F87" s="5">
        <v>210</v>
      </c>
      <c r="G87" s="5">
        <v>1</v>
      </c>
      <c r="H87" s="5">
        <v>1.47</v>
      </c>
      <c r="I87" s="5">
        <v>1.43</v>
      </c>
      <c r="J87" s="5" t="s">
        <v>87</v>
      </c>
      <c r="K87" s="5"/>
      <c r="L87" s="4">
        <v>1.7</v>
      </c>
      <c r="M87" s="4"/>
      <c r="N87" s="7">
        <v>12</v>
      </c>
      <c r="O87" s="5">
        <v>30</v>
      </c>
      <c r="P87" s="5">
        <v>2.2</v>
      </c>
      <c r="Q87" s="33">
        <f t="shared" si="2"/>
        <v>8</v>
      </c>
      <c r="R87" s="4">
        <f ca="1">YEAR(NOW())-1940</f>
        <v>66</v>
      </c>
      <c r="S87" s="4">
        <v>3</v>
      </c>
      <c r="T87" s="4">
        <v>5</v>
      </c>
      <c r="U87" s="4">
        <v>7</v>
      </c>
    </row>
    <row r="88" spans="1:21" ht="12.75">
      <c r="A88" s="8" t="s">
        <v>88</v>
      </c>
      <c r="B88" s="9">
        <f t="shared" si="3"/>
        <v>86</v>
      </c>
      <c r="C88" s="9">
        <v>211.4</v>
      </c>
      <c r="D88" s="9">
        <v>202</v>
      </c>
      <c r="E88" s="9">
        <v>9.73</v>
      </c>
      <c r="F88" s="9">
        <v>222</v>
      </c>
      <c r="G88" s="9">
        <v>0</v>
      </c>
      <c r="H88" s="9"/>
      <c r="I88" s="9">
        <v>1.34</v>
      </c>
      <c r="J88" s="9">
        <v>10.748</v>
      </c>
      <c r="K88" s="9">
        <v>0.094</v>
      </c>
      <c r="L88" s="10">
        <v>0.00364</v>
      </c>
      <c r="M88" s="10"/>
      <c r="N88" s="11">
        <v>2.9</v>
      </c>
      <c r="O88" s="9">
        <v>16.4</v>
      </c>
      <c r="P88" s="12"/>
      <c r="Q88" s="33">
        <f t="shared" si="2"/>
        <v>5</v>
      </c>
      <c r="R88" s="10">
        <f ca="1">YEAR(NOW())-1900</f>
        <v>106</v>
      </c>
      <c r="S88" s="10">
        <v>2</v>
      </c>
      <c r="T88" s="10"/>
      <c r="U88" s="10"/>
    </row>
    <row r="89" spans="1:21" ht="12.75">
      <c r="A89" s="16" t="s">
        <v>89</v>
      </c>
      <c r="B89" s="17">
        <f t="shared" si="3"/>
        <v>87</v>
      </c>
      <c r="C89" s="17">
        <v>950</v>
      </c>
      <c r="D89" s="17">
        <v>300</v>
      </c>
      <c r="E89" s="17"/>
      <c r="F89" s="17">
        <v>223</v>
      </c>
      <c r="G89" s="17">
        <v>1</v>
      </c>
      <c r="H89" s="17"/>
      <c r="I89" s="17">
        <v>2.7</v>
      </c>
      <c r="J89" s="17" t="s">
        <v>87</v>
      </c>
      <c r="K89" s="17"/>
      <c r="L89" s="17">
        <v>15</v>
      </c>
      <c r="M89" s="17"/>
      <c r="N89" s="17">
        <v>2.1</v>
      </c>
      <c r="O89" s="17">
        <v>64</v>
      </c>
      <c r="P89" s="17">
        <v>0.7</v>
      </c>
      <c r="Q89" s="33">
        <f t="shared" si="2"/>
        <v>8</v>
      </c>
      <c r="R89" s="17">
        <f ca="1">YEAR(NOW())-1939</f>
        <v>67</v>
      </c>
      <c r="S89" s="16"/>
      <c r="T89" s="16"/>
      <c r="U89" s="16"/>
    </row>
    <row r="90" spans="1:18" ht="12.75">
      <c r="A90" s="13" t="s">
        <v>90</v>
      </c>
      <c r="B90" s="5">
        <f t="shared" si="3"/>
        <v>88</v>
      </c>
      <c r="C90" s="5">
        <v>1413</v>
      </c>
      <c r="D90" s="5">
        <v>973</v>
      </c>
      <c r="E90" s="5">
        <v>5</v>
      </c>
      <c r="F90" s="5">
        <v>226.0254</v>
      </c>
      <c r="G90" s="5">
        <v>2</v>
      </c>
      <c r="H90" s="5"/>
      <c r="I90" s="14">
        <v>2.23</v>
      </c>
      <c r="J90" s="5">
        <v>5.279</v>
      </c>
      <c r="K90" s="5">
        <v>0.094</v>
      </c>
      <c r="L90" s="4">
        <v>18.6</v>
      </c>
      <c r="M90" s="4">
        <v>1</v>
      </c>
      <c r="N90" s="7">
        <v>8.37</v>
      </c>
      <c r="O90" s="5">
        <v>136.82</v>
      </c>
      <c r="P90" s="5">
        <v>0.9</v>
      </c>
      <c r="Q90" s="33">
        <f t="shared" si="2"/>
        <v>6</v>
      </c>
      <c r="R90" s="4">
        <f ca="1">YEAR(NOW())-1898</f>
        <v>108</v>
      </c>
    </row>
    <row r="91" spans="1:18" ht="12.75">
      <c r="A91" s="13" t="s">
        <v>91</v>
      </c>
      <c r="B91" s="5">
        <f t="shared" si="3"/>
        <v>89</v>
      </c>
      <c r="C91" s="5">
        <v>3470</v>
      </c>
      <c r="D91" s="5">
        <v>1324</v>
      </c>
      <c r="E91" s="5">
        <v>10.07</v>
      </c>
      <c r="F91" s="5">
        <v>227</v>
      </c>
      <c r="G91" s="5">
        <v>3</v>
      </c>
      <c r="H91" s="5"/>
      <c r="I91" s="14">
        <v>1.88</v>
      </c>
      <c r="J91" s="5">
        <v>5.17</v>
      </c>
      <c r="K91" s="5">
        <v>0.12</v>
      </c>
      <c r="L91" s="4">
        <v>12</v>
      </c>
      <c r="M91" s="4"/>
      <c r="N91" s="7"/>
      <c r="O91" s="5"/>
      <c r="P91" s="5">
        <v>1.1</v>
      </c>
      <c r="Q91" s="33">
        <f t="shared" si="2"/>
        <v>8</v>
      </c>
      <c r="R91" s="4">
        <f ca="1">YEAR(NOW())-1899</f>
        <v>107</v>
      </c>
    </row>
    <row r="92" spans="1:18" ht="12.75">
      <c r="A92" s="13" t="s">
        <v>92</v>
      </c>
      <c r="B92" s="5">
        <f t="shared" si="3"/>
        <v>90</v>
      </c>
      <c r="C92" s="5">
        <v>5060</v>
      </c>
      <c r="D92" s="5">
        <v>2028</v>
      </c>
      <c r="E92" s="5">
        <v>11.72</v>
      </c>
      <c r="F92" s="5">
        <v>232.0381</v>
      </c>
      <c r="G92" s="5">
        <v>4</v>
      </c>
      <c r="H92" s="5">
        <v>1.65</v>
      </c>
      <c r="I92" s="14">
        <v>1.8</v>
      </c>
      <c r="J92" s="5">
        <v>6.01</v>
      </c>
      <c r="K92" s="5">
        <v>0.113</v>
      </c>
      <c r="L92" s="4">
        <v>54</v>
      </c>
      <c r="M92" s="4">
        <v>7.1</v>
      </c>
      <c r="N92" s="7">
        <v>15.65</v>
      </c>
      <c r="O92" s="5">
        <v>543.92</v>
      </c>
      <c r="P92" s="5">
        <v>1.3</v>
      </c>
      <c r="Q92" s="33">
        <f t="shared" si="2"/>
        <v>7</v>
      </c>
      <c r="R92" s="4">
        <f ca="1">YEAR(NOW())-1828</f>
        <v>178</v>
      </c>
    </row>
    <row r="93" spans="1:19" ht="12.75">
      <c r="A93" s="13" t="s">
        <v>93</v>
      </c>
      <c r="B93" s="5">
        <f t="shared" si="3"/>
        <v>91</v>
      </c>
      <c r="C93" s="5">
        <v>4300</v>
      </c>
      <c r="D93" s="5">
        <v>1845</v>
      </c>
      <c r="E93" s="5">
        <v>15.4</v>
      </c>
      <c r="F93" s="5">
        <v>231.0359</v>
      </c>
      <c r="G93" s="5">
        <v>5</v>
      </c>
      <c r="H93" s="5"/>
      <c r="I93" s="14">
        <v>1.61</v>
      </c>
      <c r="J93" s="5">
        <v>5.89</v>
      </c>
      <c r="K93" s="5"/>
      <c r="L93" s="4">
        <v>47</v>
      </c>
      <c r="M93" s="4">
        <v>5.6</v>
      </c>
      <c r="N93" s="7"/>
      <c r="O93" s="5"/>
      <c r="P93" s="5">
        <v>1.5</v>
      </c>
      <c r="Q93" s="33">
        <f t="shared" si="2"/>
        <v>12</v>
      </c>
      <c r="R93" s="4">
        <f ca="1">YEAR(NOW())-1913</f>
        <v>93</v>
      </c>
      <c r="S93" s="4">
        <v>4</v>
      </c>
    </row>
    <row r="94" spans="1:21" ht="12.75">
      <c r="A94" s="13" t="s">
        <v>94</v>
      </c>
      <c r="B94" s="5">
        <f t="shared" si="3"/>
        <v>92</v>
      </c>
      <c r="C94" s="5">
        <v>4407</v>
      </c>
      <c r="D94" s="5">
        <v>1408</v>
      </c>
      <c r="E94" s="5">
        <v>18.95</v>
      </c>
      <c r="F94" s="5">
        <v>238.029</v>
      </c>
      <c r="G94" s="5">
        <v>6</v>
      </c>
      <c r="H94" s="5">
        <v>1.42</v>
      </c>
      <c r="I94" s="14">
        <v>1.38</v>
      </c>
      <c r="J94" s="5">
        <v>6.05</v>
      </c>
      <c r="K94" s="5">
        <v>0.12</v>
      </c>
      <c r="L94" s="4">
        <v>27.6</v>
      </c>
      <c r="M94" s="4">
        <v>3.6</v>
      </c>
      <c r="N94" s="7">
        <v>15.48</v>
      </c>
      <c r="O94" s="5">
        <v>422.58</v>
      </c>
      <c r="P94" s="5">
        <v>1.38</v>
      </c>
      <c r="Q94" s="33">
        <f t="shared" si="2"/>
        <v>7</v>
      </c>
      <c r="R94" s="4">
        <f ca="1">YEAR(NOW())-1789</f>
        <v>217</v>
      </c>
      <c r="S94" s="4">
        <v>5</v>
      </c>
      <c r="T94" s="4">
        <v>4</v>
      </c>
      <c r="U94" s="4">
        <v>3</v>
      </c>
    </row>
    <row r="95" spans="1:21" ht="12.75">
      <c r="A95" s="13" t="s">
        <v>95</v>
      </c>
      <c r="B95" s="5">
        <f t="shared" si="3"/>
        <v>93</v>
      </c>
      <c r="C95" s="5">
        <v>4175</v>
      </c>
      <c r="D95" s="5">
        <v>912</v>
      </c>
      <c r="E95" s="5">
        <v>20.2</v>
      </c>
      <c r="F95" s="5">
        <v>237.0482</v>
      </c>
      <c r="G95" s="5">
        <v>5</v>
      </c>
      <c r="H95" s="5"/>
      <c r="I95" s="14">
        <v>1.3</v>
      </c>
      <c r="J95" s="5">
        <v>6.19</v>
      </c>
      <c r="K95" s="5"/>
      <c r="L95" s="4">
        <v>6.3</v>
      </c>
      <c r="M95" s="4">
        <v>0.8</v>
      </c>
      <c r="N95" s="7"/>
      <c r="O95" s="5"/>
      <c r="P95" s="5">
        <v>1.36</v>
      </c>
      <c r="Q95" s="33">
        <f t="shared" si="2"/>
        <v>9</v>
      </c>
      <c r="R95" s="4">
        <f ca="1">YEAR(NOW())-1940</f>
        <v>66</v>
      </c>
      <c r="S95" s="4">
        <v>6</v>
      </c>
      <c r="T95" s="4">
        <v>4</v>
      </c>
      <c r="U95" s="4">
        <v>3</v>
      </c>
    </row>
    <row r="96" spans="1:21" ht="12.75">
      <c r="A96" s="13" t="s">
        <v>96</v>
      </c>
      <c r="B96" s="5">
        <f t="shared" si="3"/>
        <v>94</v>
      </c>
      <c r="C96" s="5">
        <v>3505</v>
      </c>
      <c r="D96" s="5">
        <v>913</v>
      </c>
      <c r="E96" s="5">
        <v>19.84</v>
      </c>
      <c r="F96" s="5">
        <v>244</v>
      </c>
      <c r="G96" s="5">
        <v>4</v>
      </c>
      <c r="H96" s="5">
        <v>1.08</v>
      </c>
      <c r="I96" s="14">
        <v>1.51</v>
      </c>
      <c r="J96" s="5">
        <v>6.06</v>
      </c>
      <c r="K96" s="5">
        <v>0.13</v>
      </c>
      <c r="L96" s="4">
        <v>6.74</v>
      </c>
      <c r="M96" s="4">
        <v>0.7</v>
      </c>
      <c r="N96" s="7"/>
      <c r="O96" s="5"/>
      <c r="P96" s="5">
        <v>1.28</v>
      </c>
      <c r="Q96" s="33">
        <f t="shared" si="2"/>
        <v>9</v>
      </c>
      <c r="R96" s="4">
        <f ca="1">YEAR(NOW())-1940</f>
        <v>66</v>
      </c>
      <c r="S96" s="4">
        <v>6</v>
      </c>
      <c r="T96" s="4">
        <v>5</v>
      </c>
      <c r="U96" s="4">
        <v>3</v>
      </c>
    </row>
    <row r="97" spans="1:21" ht="12.75">
      <c r="A97" s="13" t="s">
        <v>97</v>
      </c>
      <c r="B97" s="5">
        <f t="shared" si="3"/>
        <v>95</v>
      </c>
      <c r="C97" s="5">
        <v>2880</v>
      </c>
      <c r="D97" s="5">
        <v>1449</v>
      </c>
      <c r="E97" s="5">
        <v>13.7</v>
      </c>
      <c r="F97" s="5">
        <v>243</v>
      </c>
      <c r="G97" s="5">
        <v>3</v>
      </c>
      <c r="H97" s="5"/>
      <c r="I97" s="14">
        <v>1.84</v>
      </c>
      <c r="J97" s="5">
        <v>5.993</v>
      </c>
      <c r="K97" s="5"/>
      <c r="L97" s="4">
        <v>10</v>
      </c>
      <c r="M97" s="4">
        <v>0.7</v>
      </c>
      <c r="N97" s="7"/>
      <c r="O97" s="5"/>
      <c r="P97" s="5">
        <v>1.3</v>
      </c>
      <c r="Q97" s="33">
        <f t="shared" si="2"/>
        <v>9</v>
      </c>
      <c r="R97" s="4">
        <f ca="1">YEAR(NOW())-1944</f>
        <v>62</v>
      </c>
      <c r="S97" s="4">
        <v>6</v>
      </c>
      <c r="T97" s="4">
        <v>5</v>
      </c>
      <c r="U97" s="4">
        <v>4</v>
      </c>
    </row>
    <row r="98" spans="1:18" ht="12.75">
      <c r="A98" s="13" t="s">
        <v>98</v>
      </c>
      <c r="B98" s="5">
        <f t="shared" si="3"/>
        <v>96</v>
      </c>
      <c r="C98" s="5"/>
      <c r="D98" s="5">
        <v>1620</v>
      </c>
      <c r="E98" s="5">
        <v>13.5</v>
      </c>
      <c r="F98" s="5">
        <v>247</v>
      </c>
      <c r="G98" s="5">
        <v>3</v>
      </c>
      <c r="H98" s="5"/>
      <c r="I98" s="22"/>
      <c r="J98" s="5">
        <v>6.02</v>
      </c>
      <c r="K98" s="5"/>
      <c r="L98" s="4">
        <v>10</v>
      </c>
      <c r="M98" s="4"/>
      <c r="N98" s="7"/>
      <c r="O98" s="5"/>
      <c r="P98" s="5">
        <v>1.3</v>
      </c>
      <c r="Q98" s="33">
        <f t="shared" si="2"/>
        <v>6</v>
      </c>
      <c r="R98" s="4">
        <f ca="1">YEAR(NOW())-1944</f>
        <v>62</v>
      </c>
    </row>
    <row r="99" spans="1:19" ht="12.75">
      <c r="A99" s="13" t="s">
        <v>99</v>
      </c>
      <c r="B99" s="5">
        <f t="shared" si="3"/>
        <v>97</v>
      </c>
      <c r="C99" s="5"/>
      <c r="D99" s="5">
        <v>1620</v>
      </c>
      <c r="E99" s="5">
        <v>14</v>
      </c>
      <c r="F99" s="5">
        <v>247</v>
      </c>
      <c r="G99" s="5">
        <v>3</v>
      </c>
      <c r="H99" s="5"/>
      <c r="I99" s="22"/>
      <c r="J99" s="5">
        <v>6.23</v>
      </c>
      <c r="K99" s="5"/>
      <c r="L99" s="4">
        <v>10</v>
      </c>
      <c r="M99" s="4"/>
      <c r="N99" s="7"/>
      <c r="O99" s="5"/>
      <c r="P99" s="5">
        <v>1.3</v>
      </c>
      <c r="Q99" s="33">
        <f t="shared" si="2"/>
        <v>9</v>
      </c>
      <c r="R99" s="4">
        <f ca="1">YEAR(NOW())-1949</f>
        <v>57</v>
      </c>
      <c r="S99" s="4">
        <v>4</v>
      </c>
    </row>
    <row r="100" spans="1:18" ht="12.75">
      <c r="A100" s="13" t="s">
        <v>100</v>
      </c>
      <c r="B100" s="5">
        <f t="shared" si="3"/>
        <v>98</v>
      </c>
      <c r="C100" s="5"/>
      <c r="D100" s="5">
        <v>1170</v>
      </c>
      <c r="E100" s="5"/>
      <c r="F100" s="5">
        <v>251</v>
      </c>
      <c r="G100" s="4"/>
      <c r="H100" s="4"/>
      <c r="I100" s="22"/>
      <c r="J100" s="5">
        <v>6.3</v>
      </c>
      <c r="K100" s="5"/>
      <c r="L100" s="4">
        <v>10</v>
      </c>
      <c r="M100" s="4"/>
      <c r="N100" s="7"/>
      <c r="O100" s="5"/>
      <c r="P100" s="5">
        <v>1.3</v>
      </c>
      <c r="Q100" s="33">
        <f t="shared" si="2"/>
        <v>11</v>
      </c>
      <c r="R100" s="4">
        <f ca="1">YEAR(NOW())-1950</f>
        <v>56</v>
      </c>
    </row>
    <row r="101" spans="1:18" ht="12.75">
      <c r="A101" s="13" t="s">
        <v>101</v>
      </c>
      <c r="B101" s="5">
        <f t="shared" si="3"/>
        <v>99</v>
      </c>
      <c r="C101" s="5"/>
      <c r="D101" s="5">
        <v>1170</v>
      </c>
      <c r="E101" s="5"/>
      <c r="F101" s="5">
        <v>252</v>
      </c>
      <c r="G101" s="4">
        <v>3</v>
      </c>
      <c r="H101" s="4"/>
      <c r="I101" s="22"/>
      <c r="J101" s="5">
        <v>6.42</v>
      </c>
      <c r="K101" s="5"/>
      <c r="L101" s="4">
        <v>10</v>
      </c>
      <c r="M101" s="4"/>
      <c r="N101" s="7"/>
      <c r="O101" s="5"/>
      <c r="P101" s="5">
        <v>1.3</v>
      </c>
      <c r="Q101" s="33">
        <f t="shared" si="2"/>
        <v>11</v>
      </c>
      <c r="R101" s="4">
        <f ca="1">YEAR(NOW())-1952</f>
        <v>54</v>
      </c>
    </row>
    <row r="102" spans="1:18" ht="12.75">
      <c r="A102" s="13" t="s">
        <v>102</v>
      </c>
      <c r="B102" s="5">
        <f t="shared" si="3"/>
        <v>100</v>
      </c>
      <c r="C102" s="5"/>
      <c r="D102" s="5">
        <v>1130</v>
      </c>
      <c r="E102" s="5"/>
      <c r="F102" s="5">
        <v>257</v>
      </c>
      <c r="G102" s="4">
        <v>3</v>
      </c>
      <c r="H102" s="4"/>
      <c r="I102" s="22"/>
      <c r="J102" s="5">
        <v>6.5</v>
      </c>
      <c r="K102" s="5"/>
      <c r="L102" s="4">
        <v>10</v>
      </c>
      <c r="M102" s="4"/>
      <c r="N102" s="7"/>
      <c r="O102" s="5"/>
      <c r="P102" s="5">
        <v>1.3</v>
      </c>
      <c r="Q102" s="33">
        <f t="shared" si="2"/>
        <v>7</v>
      </c>
      <c r="R102" s="4">
        <f ca="1">YEAR(NOW())-1952</f>
        <v>54</v>
      </c>
    </row>
    <row r="103" spans="1:18" ht="12.75">
      <c r="A103" s="13" t="s">
        <v>103</v>
      </c>
      <c r="B103" s="5">
        <f t="shared" si="3"/>
        <v>101</v>
      </c>
      <c r="C103" s="5"/>
      <c r="D103" s="5">
        <v>1800</v>
      </c>
      <c r="E103" s="5"/>
      <c r="F103" s="5">
        <v>258</v>
      </c>
      <c r="G103" s="4">
        <v>3</v>
      </c>
      <c r="H103" s="4"/>
      <c r="I103" s="22"/>
      <c r="J103" s="5">
        <v>6.58</v>
      </c>
      <c r="K103" s="5"/>
      <c r="L103" s="4">
        <v>10</v>
      </c>
      <c r="M103" s="4"/>
      <c r="N103" s="7"/>
      <c r="O103" s="5"/>
      <c r="P103" s="5">
        <v>1.3</v>
      </c>
      <c r="Q103" s="33">
        <f t="shared" si="2"/>
        <v>11</v>
      </c>
      <c r="R103" s="4">
        <f ca="1">YEAR(NOW())-1955</f>
        <v>51</v>
      </c>
    </row>
    <row r="104" spans="1:19" ht="12.75">
      <c r="A104" s="13" t="s">
        <v>104</v>
      </c>
      <c r="B104" s="5">
        <f t="shared" si="3"/>
        <v>102</v>
      </c>
      <c r="C104" s="5"/>
      <c r="D104" s="5">
        <v>1100</v>
      </c>
      <c r="E104" s="5"/>
      <c r="F104" s="5">
        <v>259</v>
      </c>
      <c r="G104" s="4">
        <v>3</v>
      </c>
      <c r="H104" s="4"/>
      <c r="I104" s="22"/>
      <c r="J104" s="5">
        <v>6.65</v>
      </c>
      <c r="K104" s="5"/>
      <c r="L104" s="4">
        <v>10</v>
      </c>
      <c r="M104" s="4"/>
      <c r="N104" s="7"/>
      <c r="O104" s="5"/>
      <c r="P104" s="5">
        <v>1.3</v>
      </c>
      <c r="Q104" s="33">
        <f t="shared" si="2"/>
        <v>8</v>
      </c>
      <c r="R104" s="4">
        <f ca="1">YEAR(NOW())-1958</f>
        <v>48</v>
      </c>
      <c r="S104" s="4">
        <v>2</v>
      </c>
    </row>
    <row r="105" spans="1:18" ht="12.75">
      <c r="A105" s="13" t="s">
        <v>105</v>
      </c>
      <c r="B105" s="5">
        <f t="shared" si="3"/>
        <v>103</v>
      </c>
      <c r="C105" s="5"/>
      <c r="D105" s="5">
        <v>1900</v>
      </c>
      <c r="E105" s="5"/>
      <c r="F105" s="5">
        <v>260</v>
      </c>
      <c r="G105" s="4">
        <v>3</v>
      </c>
      <c r="H105" s="4"/>
      <c r="I105" s="22"/>
      <c r="J105" s="22"/>
      <c r="K105" s="22"/>
      <c r="L105" s="4">
        <v>10</v>
      </c>
      <c r="M105" s="4"/>
      <c r="N105" s="7"/>
      <c r="O105" s="5"/>
      <c r="P105" s="32">
        <v>1.3</v>
      </c>
      <c r="Q105" s="33">
        <f t="shared" si="2"/>
        <v>10</v>
      </c>
      <c r="R105" s="4">
        <f ca="1">YEAR(NOW())-1961</f>
        <v>45</v>
      </c>
    </row>
    <row r="106" spans="1:18" ht="12.75">
      <c r="A106" s="13" t="s">
        <v>106</v>
      </c>
      <c r="B106" s="5">
        <f t="shared" si="3"/>
        <v>104</v>
      </c>
      <c r="C106" s="5"/>
      <c r="D106" s="5"/>
      <c r="E106" s="5"/>
      <c r="F106" s="5">
        <v>261</v>
      </c>
      <c r="G106" s="4"/>
      <c r="H106" s="4"/>
      <c r="I106" s="22"/>
      <c r="J106" s="22"/>
      <c r="K106" s="22"/>
      <c r="L106" s="4"/>
      <c r="M106" s="4"/>
      <c r="N106" s="7"/>
      <c r="O106" s="5"/>
      <c r="P106" s="32">
        <v>1.3</v>
      </c>
      <c r="Q106" s="33">
        <f t="shared" si="2"/>
        <v>13</v>
      </c>
      <c r="R106" s="4">
        <f ca="1">YEAR(NOW())-1964</f>
        <v>42</v>
      </c>
    </row>
    <row r="107" spans="1:18" ht="12.75">
      <c r="A107" s="13" t="s">
        <v>107</v>
      </c>
      <c r="B107" s="5">
        <f t="shared" si="3"/>
        <v>105</v>
      </c>
      <c r="C107" s="5"/>
      <c r="D107" s="5"/>
      <c r="E107" s="5"/>
      <c r="F107" s="5">
        <v>262</v>
      </c>
      <c r="G107" s="4"/>
      <c r="H107" s="4"/>
      <c r="I107" s="22"/>
      <c r="J107" s="22"/>
      <c r="K107" s="22"/>
      <c r="L107" s="4"/>
      <c r="M107" s="4"/>
      <c r="N107" s="7"/>
      <c r="O107" s="5"/>
      <c r="P107" s="22"/>
      <c r="Q107" s="33">
        <f t="shared" si="2"/>
        <v>7</v>
      </c>
      <c r="R107" s="4">
        <f ca="1">YEAR(NOW())-1967</f>
        <v>39</v>
      </c>
    </row>
    <row r="108" spans="1:18" ht="12.75">
      <c r="A108" s="13" t="s">
        <v>108</v>
      </c>
      <c r="B108" s="5">
        <f t="shared" si="3"/>
        <v>106</v>
      </c>
      <c r="C108" s="5"/>
      <c r="D108" s="5"/>
      <c r="E108" s="5"/>
      <c r="F108" s="5">
        <v>263</v>
      </c>
      <c r="G108" s="4"/>
      <c r="H108" s="4"/>
      <c r="I108" s="22"/>
      <c r="J108" s="22"/>
      <c r="K108" s="22"/>
      <c r="L108" s="4"/>
      <c r="M108" s="4"/>
      <c r="N108" s="7"/>
      <c r="O108" s="5"/>
      <c r="P108" s="22"/>
      <c r="Q108" s="33">
        <f t="shared" si="2"/>
        <v>10</v>
      </c>
      <c r="R108" s="4">
        <f ca="1">YEAR(NOW())-1974</f>
        <v>32</v>
      </c>
    </row>
    <row r="109" spans="1:18" ht="12.75">
      <c r="A109" s="13" t="s">
        <v>109</v>
      </c>
      <c r="B109" s="5">
        <f t="shared" si="3"/>
        <v>107</v>
      </c>
      <c r="C109" s="4"/>
      <c r="D109" s="4"/>
      <c r="E109" s="4"/>
      <c r="F109" s="4">
        <v>262</v>
      </c>
      <c r="G109" s="4"/>
      <c r="H109" s="4"/>
      <c r="I109" s="4"/>
      <c r="J109" s="4"/>
      <c r="K109" s="4"/>
      <c r="L109" s="4"/>
      <c r="M109" s="4"/>
      <c r="N109" s="7"/>
      <c r="O109" s="5"/>
      <c r="P109" s="4"/>
      <c r="Q109" s="33">
        <f t="shared" si="2"/>
        <v>7</v>
      </c>
      <c r="R109" s="4">
        <f ca="1">YEAR(NOW())-1976</f>
        <v>30</v>
      </c>
    </row>
    <row r="110" spans="1:17" ht="12.75">
      <c r="A110" s="13" t="s">
        <v>110</v>
      </c>
      <c r="B110" s="5">
        <f t="shared" si="3"/>
        <v>108</v>
      </c>
      <c r="C110" s="4"/>
      <c r="D110" s="4"/>
      <c r="E110" s="4"/>
      <c r="F110" s="4">
        <v>265</v>
      </c>
      <c r="G110" s="4"/>
      <c r="H110" s="4"/>
      <c r="I110" s="4"/>
      <c r="J110" s="4"/>
      <c r="K110" s="4"/>
      <c r="L110" s="4"/>
      <c r="M110" s="4"/>
      <c r="N110" s="7"/>
      <c r="O110" s="5"/>
      <c r="P110" s="4"/>
      <c r="Q110" s="33">
        <f t="shared" si="2"/>
        <v>7</v>
      </c>
    </row>
    <row r="111" spans="1:18" ht="12.75">
      <c r="A111" s="13" t="s">
        <v>111</v>
      </c>
      <c r="B111" s="5">
        <f t="shared" si="3"/>
        <v>109</v>
      </c>
      <c r="C111" s="4"/>
      <c r="D111" s="4"/>
      <c r="E111" s="4"/>
      <c r="F111" s="4">
        <v>266</v>
      </c>
      <c r="G111" s="4"/>
      <c r="H111" s="4"/>
      <c r="I111" s="4"/>
      <c r="J111" s="4"/>
      <c r="K111" s="4"/>
      <c r="L111" s="4"/>
      <c r="M111" s="4"/>
      <c r="N111" s="7"/>
      <c r="O111" s="5"/>
      <c r="P111" s="4"/>
      <c r="Q111" s="33">
        <f t="shared" si="2"/>
        <v>10</v>
      </c>
      <c r="R111" s="4">
        <f ca="1">YEAR(NOW())-1982</f>
        <v>24</v>
      </c>
    </row>
    <row r="112" spans="1:17" ht="12.75">
      <c r="A112" s="13" t="s">
        <v>112</v>
      </c>
      <c r="B112" s="5">
        <v>110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7"/>
      <c r="O112" s="5"/>
      <c r="P112" s="4"/>
      <c r="Q112" s="33">
        <f t="shared" si="2"/>
        <v>10</v>
      </c>
    </row>
    <row r="113" ht="12.75">
      <c r="Q113" s="33">
        <f t="shared" si="2"/>
        <v>0</v>
      </c>
    </row>
    <row r="114" ht="12.75">
      <c r="Q114" s="33">
        <f t="shared" si="2"/>
        <v>0</v>
      </c>
    </row>
    <row r="115" spans="2:17" ht="12.75">
      <c r="B115" s="5"/>
      <c r="Q115" s="33">
        <f t="shared" si="2"/>
        <v>0</v>
      </c>
    </row>
    <row r="116" spans="2:17" ht="12.75">
      <c r="B116" s="5"/>
      <c r="Q116" s="33">
        <f t="shared" si="2"/>
        <v>0</v>
      </c>
    </row>
    <row r="117" spans="2:17" ht="12.75">
      <c r="B117" s="5"/>
      <c r="Q117" s="33">
        <f t="shared" si="2"/>
        <v>0</v>
      </c>
    </row>
    <row r="118" spans="2:17" ht="12.75">
      <c r="B118" s="5"/>
      <c r="Q118" s="33">
        <f t="shared" si="2"/>
        <v>0</v>
      </c>
    </row>
    <row r="119" spans="2:17" ht="12.75">
      <c r="B119" s="5"/>
      <c r="Q119" s="33">
        <f t="shared" si="2"/>
        <v>0</v>
      </c>
    </row>
    <row r="120" spans="2:17" ht="12.75">
      <c r="B120" s="5"/>
      <c r="Q120" s="33">
        <f t="shared" si="2"/>
        <v>0</v>
      </c>
    </row>
    <row r="121" ht="12.75">
      <c r="Q121" s="33">
        <f t="shared" si="2"/>
        <v>0</v>
      </c>
    </row>
    <row r="122" ht="12.75">
      <c r="Q122" s="33">
        <f t="shared" si="2"/>
        <v>0</v>
      </c>
    </row>
    <row r="123" ht="12.75">
      <c r="Q123" s="33">
        <f t="shared" si="2"/>
        <v>0</v>
      </c>
    </row>
  </sheetData>
  <printOptions/>
  <pageMargins left="0.75" right="0.75" top="1" bottom="1" header="0.5" footer="0.5"/>
  <pageSetup horizontalDpi="204" verticalDpi="204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11"/>
  <sheetViews>
    <sheetView showGridLines="0" zoomScale="75" zoomScaleNormal="75" workbookViewId="0" topLeftCell="A1">
      <selection activeCell="S10" sqref="S10"/>
    </sheetView>
  </sheetViews>
  <sheetFormatPr defaultColWidth="9.140625" defaultRowHeight="19.5" customHeight="1"/>
  <cols>
    <col min="1" max="1" width="3.00390625" style="25" customWidth="1"/>
    <col min="2" max="2" width="4.7109375" style="30" customWidth="1"/>
    <col min="3" max="20" width="6.421875" style="25" customWidth="1"/>
    <col min="21" max="16384" width="4.140625" style="25" customWidth="1"/>
  </cols>
  <sheetData>
    <row r="2" spans="2:20" ht="33" customHeight="1">
      <c r="B2" s="23">
        <v>1</v>
      </c>
      <c r="C2" s="24" t="s">
        <v>127</v>
      </c>
      <c r="T2" s="24" t="s">
        <v>128</v>
      </c>
    </row>
    <row r="3" spans="2:20" ht="33" customHeight="1" thickBot="1">
      <c r="B3" s="23">
        <v>2</v>
      </c>
      <c r="C3" s="26" t="s">
        <v>129</v>
      </c>
      <c r="D3" s="26" t="s">
        <v>130</v>
      </c>
      <c r="O3" s="27" t="s">
        <v>131</v>
      </c>
      <c r="P3" s="26" t="s">
        <v>132</v>
      </c>
      <c r="Q3" s="24" t="s">
        <v>133</v>
      </c>
      <c r="R3" s="24" t="s">
        <v>134</v>
      </c>
      <c r="S3" s="24" t="s">
        <v>135</v>
      </c>
      <c r="T3" s="24" t="s">
        <v>136</v>
      </c>
    </row>
    <row r="4" spans="2:20" ht="33" customHeight="1" thickBot="1">
      <c r="B4" s="23">
        <v>3</v>
      </c>
      <c r="C4" s="26" t="s">
        <v>137</v>
      </c>
      <c r="D4" s="26" t="s">
        <v>138</v>
      </c>
      <c r="O4" s="26" t="s">
        <v>139</v>
      </c>
      <c r="P4" s="27" t="s">
        <v>140</v>
      </c>
      <c r="Q4" s="26" t="s">
        <v>141</v>
      </c>
      <c r="R4" s="26" t="s">
        <v>142</v>
      </c>
      <c r="S4" s="24" t="s">
        <v>143</v>
      </c>
      <c r="T4" s="24" t="s">
        <v>144</v>
      </c>
    </row>
    <row r="5" spans="2:20" ht="33" customHeight="1" thickBot="1">
      <c r="B5" s="23">
        <v>4</v>
      </c>
      <c r="C5" s="26" t="s">
        <v>145</v>
      </c>
      <c r="D5" s="26" t="s">
        <v>146</v>
      </c>
      <c r="E5" s="26" t="s">
        <v>147</v>
      </c>
      <c r="F5" s="26" t="s">
        <v>148</v>
      </c>
      <c r="G5" s="26" t="s">
        <v>149</v>
      </c>
      <c r="H5" s="26" t="s">
        <v>150</v>
      </c>
      <c r="I5" s="26" t="s">
        <v>151</v>
      </c>
      <c r="J5" s="26" t="s">
        <v>152</v>
      </c>
      <c r="K5" s="26" t="s">
        <v>153</v>
      </c>
      <c r="L5" s="26" t="s">
        <v>154</v>
      </c>
      <c r="M5" s="26" t="s">
        <v>155</v>
      </c>
      <c r="N5" s="26" t="s">
        <v>156</v>
      </c>
      <c r="O5" s="26" t="s">
        <v>157</v>
      </c>
      <c r="P5" s="26" t="s">
        <v>158</v>
      </c>
      <c r="Q5" s="27" t="s">
        <v>159</v>
      </c>
      <c r="R5" s="26" t="s">
        <v>160</v>
      </c>
      <c r="S5" s="28" t="s">
        <v>161</v>
      </c>
      <c r="T5" s="24" t="s">
        <v>162</v>
      </c>
    </row>
    <row r="6" spans="2:20" ht="33" customHeight="1" thickBot="1">
      <c r="B6" s="23">
        <v>5</v>
      </c>
      <c r="C6" s="26" t="s">
        <v>163</v>
      </c>
      <c r="D6" s="26" t="s">
        <v>164</v>
      </c>
      <c r="E6" s="26" t="s">
        <v>165</v>
      </c>
      <c r="F6" s="26" t="s">
        <v>166</v>
      </c>
      <c r="G6" s="26" t="s">
        <v>167</v>
      </c>
      <c r="H6" s="26" t="s">
        <v>168</v>
      </c>
      <c r="I6" s="29" t="s">
        <v>169</v>
      </c>
      <c r="J6" s="26" t="s">
        <v>170</v>
      </c>
      <c r="K6" s="26" t="s">
        <v>171</v>
      </c>
      <c r="L6" s="26" t="s">
        <v>172</v>
      </c>
      <c r="M6" s="26" t="s">
        <v>173</v>
      </c>
      <c r="N6" s="26" t="s">
        <v>174</v>
      </c>
      <c r="O6" s="26" t="s">
        <v>175</v>
      </c>
      <c r="P6" s="26" t="s">
        <v>176</v>
      </c>
      <c r="Q6" s="26" t="s">
        <v>177</v>
      </c>
      <c r="R6" s="27" t="s">
        <v>178</v>
      </c>
      <c r="S6" s="26" t="s">
        <v>179</v>
      </c>
      <c r="T6" s="24" t="s">
        <v>180</v>
      </c>
    </row>
    <row r="7" spans="2:20" ht="33" customHeight="1" thickBot="1">
      <c r="B7" s="23">
        <v>6</v>
      </c>
      <c r="C7" s="26" t="s">
        <v>181</v>
      </c>
      <c r="D7" s="26" t="s">
        <v>182</v>
      </c>
      <c r="F7" s="26" t="s">
        <v>183</v>
      </c>
      <c r="G7" s="26" t="s">
        <v>184</v>
      </c>
      <c r="H7" s="26" t="s">
        <v>185</v>
      </c>
      <c r="I7" s="26" t="s">
        <v>186</v>
      </c>
      <c r="J7" s="26" t="s">
        <v>187</v>
      </c>
      <c r="K7" s="26" t="s">
        <v>188</v>
      </c>
      <c r="L7" s="26" t="s">
        <v>189</v>
      </c>
      <c r="M7" s="26" t="s">
        <v>190</v>
      </c>
      <c r="N7" s="28" t="s">
        <v>191</v>
      </c>
      <c r="O7" s="26" t="s">
        <v>192</v>
      </c>
      <c r="P7" s="26" t="s">
        <v>193</v>
      </c>
      <c r="Q7" s="26" t="s">
        <v>194</v>
      </c>
      <c r="R7" s="26" t="s">
        <v>195</v>
      </c>
      <c r="S7" s="27" t="s">
        <v>196</v>
      </c>
      <c r="T7" s="24" t="s">
        <v>197</v>
      </c>
    </row>
    <row r="8" spans="2:12" ht="33" customHeight="1">
      <c r="B8" s="23">
        <v>7</v>
      </c>
      <c r="C8" s="26" t="s">
        <v>198</v>
      </c>
      <c r="D8" s="26" t="s">
        <v>199</v>
      </c>
      <c r="F8" s="29" t="s">
        <v>200</v>
      </c>
      <c r="G8" s="29" t="s">
        <v>201</v>
      </c>
      <c r="H8" s="29" t="s">
        <v>202</v>
      </c>
      <c r="I8" s="29" t="s">
        <v>203</v>
      </c>
      <c r="J8" s="29" t="s">
        <v>204</v>
      </c>
      <c r="K8" s="29" t="s">
        <v>205</v>
      </c>
      <c r="L8" s="29" t="s">
        <v>206</v>
      </c>
    </row>
    <row r="9" ht="33" customHeight="1"/>
    <row r="10" spans="5:20" ht="33" customHeight="1">
      <c r="E10" s="31" t="s">
        <v>207</v>
      </c>
      <c r="F10" s="26" t="s">
        <v>208</v>
      </c>
      <c r="G10" s="26" t="s">
        <v>209</v>
      </c>
      <c r="H10" s="26" t="s">
        <v>210</v>
      </c>
      <c r="I10" s="26" t="s">
        <v>211</v>
      </c>
      <c r="J10" s="29" t="s">
        <v>212</v>
      </c>
      <c r="K10" s="26" t="s">
        <v>213</v>
      </c>
      <c r="L10" s="26" t="s">
        <v>214</v>
      </c>
      <c r="M10" s="26" t="s">
        <v>215</v>
      </c>
      <c r="N10" s="26" t="s">
        <v>216</v>
      </c>
      <c r="O10" s="26" t="s">
        <v>217</v>
      </c>
      <c r="P10" s="26" t="s">
        <v>218</v>
      </c>
      <c r="Q10" s="26" t="s">
        <v>219</v>
      </c>
      <c r="R10" s="26" t="s">
        <v>220</v>
      </c>
      <c r="S10" s="26" t="s">
        <v>221</v>
      </c>
      <c r="T10" s="26" t="s">
        <v>222</v>
      </c>
    </row>
    <row r="11" spans="5:20" ht="33" customHeight="1">
      <c r="E11" s="31" t="s">
        <v>223</v>
      </c>
      <c r="F11" s="26" t="s">
        <v>224</v>
      </c>
      <c r="G11" s="26" t="s">
        <v>225</v>
      </c>
      <c r="H11" s="26" t="s">
        <v>226</v>
      </c>
      <c r="I11" s="26" t="s">
        <v>227</v>
      </c>
      <c r="J11" s="29" t="s">
        <v>228</v>
      </c>
      <c r="K11" s="29" t="s">
        <v>229</v>
      </c>
      <c r="L11" s="29" t="s">
        <v>230</v>
      </c>
      <c r="M11" s="29" t="s">
        <v>231</v>
      </c>
      <c r="N11" s="29" t="s">
        <v>232</v>
      </c>
      <c r="O11" s="29" t="s">
        <v>233</v>
      </c>
      <c r="P11" s="29" t="s">
        <v>234</v>
      </c>
      <c r="Q11" s="29" t="s">
        <v>235</v>
      </c>
      <c r="R11" s="29" t="s">
        <v>236</v>
      </c>
      <c r="S11" s="29" t="s">
        <v>237</v>
      </c>
      <c r="T11" s="29" t="s">
        <v>238</v>
      </c>
    </row>
  </sheetData>
  <printOptions horizontalCentered="1" verticalCentered="1"/>
  <pageMargins left="0.75" right="0.75" top="1" bottom="1" header="0.5" footer="0.5"/>
  <pageSetup fitToHeight="1" fitToWidth="1" horizontalDpi="120" verticalDpi="120" orientation="landscape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Middletown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N/A</dc:creator>
  <cp:keywords/>
  <dc:description/>
  <cp:lastModifiedBy>courtna</cp:lastModifiedBy>
  <dcterms:created xsi:type="dcterms:W3CDTF">2001-04-30T13:35:57Z</dcterms:created>
  <dcterms:modified xsi:type="dcterms:W3CDTF">2006-03-31T23:47:14Z</dcterms:modified>
  <cp:category/>
  <cp:version/>
  <cp:contentType/>
  <cp:contentStatus/>
</cp:coreProperties>
</file>